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75" windowWidth="15480" windowHeight="10485" tabRatio="725"/>
  </bookViews>
  <sheets>
    <sheet name="ΠΡΟΥΠΟΛΟΓΙΣΜΟΣ" sheetId="11" r:id="rId1"/>
    <sheet name="ΟΜΑΛΟΤΗΤΑ" sheetId="17" r:id="rId2"/>
    <sheet name="κοστολογηση Ε2 Ε3" sheetId="3" r:id="rId3"/>
    <sheet name="κοστολογηση Α2 Α3 " sheetId="16" r:id="rId4"/>
    <sheet name="προμετρηση αγωγων" sheetId="12" r:id="rId5"/>
    <sheet name="ΚΟΣΤΟΛΟΓΗΓΗ ΑΓΩΓΟΥ Φ800" sheetId="13" r:id="rId6"/>
    <sheet name="ΚΟΣΤΟΛΟΓΗΓΗ ΑΓΩΓΟΥ Φ1000 " sheetId="14" r:id="rId7"/>
  </sheets>
  <externalReferences>
    <externalReference r:id="rId8"/>
    <externalReference r:id="rId9"/>
    <externalReference r:id="rId10"/>
  </externalReferences>
  <definedNames>
    <definedName name="nb">#REF!</definedName>
    <definedName name="_xlnm.Print_Titles" localSheetId="1">ΟΜΑΛΟΤΗΤΑ!$1:$12</definedName>
    <definedName name="_xlnm.Print_Titles" localSheetId="0">ΠΡΟΥΠΟΛΟΓΙΣΜΟΣ!$1:$12</definedName>
    <definedName name="TOTAL">#REF!</definedName>
    <definedName name="ΑΘΡ." localSheetId="6">[1]Sheet16!#REF!</definedName>
    <definedName name="ΑΘΡ." localSheetId="3">[1]Sheet16!#REF!</definedName>
    <definedName name="ΑΘΡ." localSheetId="1">[1]Sheet16!#REF!</definedName>
    <definedName name="ΑΘΡ.">[1]Sheet16!#REF!</definedName>
    <definedName name="ελσα" localSheetId="6">[2]Sheet16!#REF!</definedName>
    <definedName name="ελσα" localSheetId="3">[2]Sheet16!#REF!</definedName>
    <definedName name="ελσα" localSheetId="1">[2]Sheet16!#REF!</definedName>
    <definedName name="ελσα">[2]Sheet16!#REF!</definedName>
    <definedName name="ΠΚΤΜΝΕ1" localSheetId="6">[3]Sheet16!#REF!</definedName>
    <definedName name="ΠΚΤΜΝΕ1" localSheetId="3">[3]Sheet16!#REF!</definedName>
    <definedName name="ΠΚΤΜΝΕ1" localSheetId="1">[3]Sheet16!#REF!</definedName>
    <definedName name="ΠΚΤΜΝΕ1">[3]Sheet16!#REF!</definedName>
  </definedNames>
  <calcPr calcId="145621" calcMode="manual" iterate="1" iterateDelta="0.01" fullPrecision="0"/>
</workbook>
</file>

<file path=xl/calcChain.xml><?xml version="1.0" encoding="utf-8"?>
<calcChain xmlns="http://schemas.openxmlformats.org/spreadsheetml/2006/main">
  <c r="Q56" i="11" l="1"/>
  <c r="K29" i="11"/>
  <c r="K30" i="11"/>
  <c r="H30" i="11"/>
  <c r="H29" i="11"/>
  <c r="J27" i="11"/>
  <c r="I60" i="11"/>
  <c r="K60" i="11" s="1"/>
  <c r="I59" i="11"/>
  <c r="K59" i="11" s="1"/>
  <c r="I58" i="11"/>
  <c r="K58" i="11" s="1"/>
  <c r="K57" i="11"/>
  <c r="I56" i="11"/>
  <c r="K56" i="11" s="1"/>
  <c r="I55" i="11"/>
  <c r="K55" i="11" s="1"/>
  <c r="I54" i="11"/>
  <c r="K54" i="11"/>
  <c r="I53" i="11"/>
  <c r="K53" i="11" s="1"/>
  <c r="I52" i="11"/>
  <c r="K52" i="11"/>
  <c r="I42" i="11"/>
  <c r="K42" i="11" s="1"/>
  <c r="I27" i="11"/>
  <c r="K27" i="11"/>
  <c r="I26" i="11"/>
  <c r="K26" i="11"/>
  <c r="I21" i="11"/>
  <c r="K21" i="11"/>
  <c r="I20" i="11"/>
  <c r="K20" i="11"/>
  <c r="I18" i="11"/>
  <c r="K18" i="11"/>
  <c r="I17" i="11"/>
  <c r="K17" i="11"/>
  <c r="I16" i="11"/>
  <c r="K16" i="11"/>
  <c r="I15" i="11"/>
  <c r="K15" i="11"/>
  <c r="L74" i="11"/>
  <c r="H47" i="11"/>
  <c r="I47" i="11" s="1"/>
  <c r="K47" i="11" s="1"/>
  <c r="H46" i="11"/>
  <c r="I46" i="11" s="1"/>
  <c r="K46" i="11" s="1"/>
  <c r="H45" i="11"/>
  <c r="I45" i="11" s="1"/>
  <c r="K45" i="11" s="1"/>
  <c r="H65" i="11"/>
  <c r="I65" i="11"/>
  <c r="K65" i="11" s="1"/>
  <c r="H64" i="11"/>
  <c r="I64" i="11" s="1"/>
  <c r="K64" i="11" s="1"/>
  <c r="H62" i="11"/>
  <c r="I62" i="11"/>
  <c r="K62" i="11" s="1"/>
  <c r="H63" i="11"/>
  <c r="I63" i="11" s="1"/>
  <c r="K63" i="11" s="1"/>
  <c r="H61" i="11"/>
  <c r="I61" i="11" s="1"/>
  <c r="K61" i="11" s="1"/>
  <c r="H51" i="11"/>
  <c r="I51" i="11" s="1"/>
  <c r="K51" i="11" s="1"/>
  <c r="H33" i="11"/>
  <c r="I33" i="11" s="1"/>
  <c r="K33" i="11" s="1"/>
  <c r="H31" i="11"/>
  <c r="I31" i="11" s="1"/>
  <c r="K31" i="11" s="1"/>
  <c r="K28" i="11"/>
  <c r="I16" i="16"/>
  <c r="J16" i="16" s="1"/>
  <c r="G16" i="16"/>
  <c r="I13" i="16"/>
  <c r="J13" i="16" s="1"/>
  <c r="G13" i="16"/>
  <c r="H13" i="16" s="1"/>
  <c r="I10" i="16"/>
  <c r="J10" i="16" s="1"/>
  <c r="G10" i="16"/>
  <c r="H43" i="11" s="1"/>
  <c r="I43" i="11" s="1"/>
  <c r="K43" i="11" s="1"/>
  <c r="L6" i="16"/>
  <c r="I24" i="16"/>
  <c r="J24" i="16"/>
  <c r="G24" i="16"/>
  <c r="G23" i="16"/>
  <c r="I23" i="16"/>
  <c r="J23" i="16" s="1"/>
  <c r="H23" i="16"/>
  <c r="I9" i="16"/>
  <c r="G9" i="16"/>
  <c r="I5" i="16"/>
  <c r="I6" i="16" s="1"/>
  <c r="G5" i="16"/>
  <c r="H24" i="16"/>
  <c r="J17" i="16"/>
  <c r="H17" i="16"/>
  <c r="H16" i="16"/>
  <c r="J15" i="16"/>
  <c r="H15" i="16"/>
  <c r="J14" i="16"/>
  <c r="H14" i="16"/>
  <c r="J12" i="16"/>
  <c r="H12" i="16"/>
  <c r="J11" i="16"/>
  <c r="H11" i="16"/>
  <c r="J9" i="16"/>
  <c r="J25" i="3"/>
  <c r="I26" i="3"/>
  <c r="J26" i="3" s="1"/>
  <c r="I25" i="3"/>
  <c r="G26" i="3"/>
  <c r="H40" i="11" s="1"/>
  <c r="I40" i="11" s="1"/>
  <c r="K40" i="11" s="1"/>
  <c r="G25" i="3"/>
  <c r="G10" i="14"/>
  <c r="H10" i="14" s="1"/>
  <c r="G10" i="13"/>
  <c r="G8" i="14"/>
  <c r="H8" i="14" s="1"/>
  <c r="G7" i="14"/>
  <c r="H7" i="14" s="1"/>
  <c r="H15" i="14"/>
  <c r="H14" i="14"/>
  <c r="H13" i="14"/>
  <c r="H16" i="14" s="1"/>
  <c r="E18" i="12"/>
  <c r="H28" i="11" s="1"/>
  <c r="D18" i="12"/>
  <c r="H14" i="13"/>
  <c r="H15" i="13"/>
  <c r="H13" i="13"/>
  <c r="H10" i="13"/>
  <c r="G8" i="13"/>
  <c r="G9" i="13" s="1"/>
  <c r="H9" i="13" s="1"/>
  <c r="G7" i="13"/>
  <c r="J19" i="3"/>
  <c r="J18" i="3"/>
  <c r="J14" i="3"/>
  <c r="J13" i="3"/>
  <c r="J12" i="3"/>
  <c r="J11" i="3"/>
  <c r="J10" i="3"/>
  <c r="J9" i="3"/>
  <c r="J6" i="3"/>
  <c r="J16" i="3"/>
  <c r="H6" i="3"/>
  <c r="H9" i="3"/>
  <c r="H10" i="3"/>
  <c r="H11" i="3"/>
  <c r="H12" i="3"/>
  <c r="H13" i="3"/>
  <c r="H14" i="3"/>
  <c r="H16" i="3"/>
  <c r="H18" i="3"/>
  <c r="H19" i="3"/>
  <c r="I17" i="3"/>
  <c r="J17" i="3" s="1"/>
  <c r="I15" i="3"/>
  <c r="J15" i="3" s="1"/>
  <c r="I5" i="3"/>
  <c r="I8" i="3" s="1"/>
  <c r="J8" i="3" s="1"/>
  <c r="G17" i="3"/>
  <c r="H17" i="3" s="1"/>
  <c r="G5" i="3"/>
  <c r="H5" i="3" s="1"/>
  <c r="G15" i="3"/>
  <c r="H44" i="11" s="1"/>
  <c r="I44" i="11" s="1"/>
  <c r="K44" i="11" s="1"/>
  <c r="H34" i="11"/>
  <c r="I34" i="11" s="1"/>
  <c r="K34" i="11" s="1"/>
  <c r="G6" i="16"/>
  <c r="H24" i="11"/>
  <c r="I24" i="11" s="1"/>
  <c r="K24" i="11" s="1"/>
  <c r="H5" i="16"/>
  <c r="J5" i="16"/>
  <c r="G8" i="16"/>
  <c r="H8" i="16"/>
  <c r="J10" i="11"/>
  <c r="L77" i="11"/>
  <c r="L76" i="11" s="1"/>
  <c r="H32" i="11"/>
  <c r="I32" i="11" s="1"/>
  <c r="K32" i="11" s="1"/>
  <c r="H6" i="16"/>
  <c r="G7" i="16"/>
  <c r="H7" i="16" s="1"/>
  <c r="H7" i="13"/>
  <c r="H25" i="3"/>
  <c r="H26" i="3"/>
  <c r="I7" i="3"/>
  <c r="J7" i="3" s="1"/>
  <c r="H9" i="16"/>
  <c r="H10" i="16"/>
  <c r="J5" i="3"/>
  <c r="G8" i="3"/>
  <c r="H23" i="11" s="1"/>
  <c r="I23" i="11" s="1"/>
  <c r="K23" i="11" s="1"/>
  <c r="G9" i="14" l="1"/>
  <c r="H9" i="14" s="1"/>
  <c r="H41" i="11"/>
  <c r="I41" i="11" s="1"/>
  <c r="K41" i="11" s="1"/>
  <c r="H8" i="13"/>
  <c r="H11" i="13" s="1"/>
  <c r="H17" i="13" s="1"/>
  <c r="H16" i="13"/>
  <c r="H39" i="11"/>
  <c r="I39" i="11" s="1"/>
  <c r="K39" i="11" s="1"/>
  <c r="J27" i="3"/>
  <c r="H25" i="11"/>
  <c r="I25" i="11" s="1"/>
  <c r="K25" i="11" s="1"/>
  <c r="L66" i="11"/>
  <c r="I8" i="16"/>
  <c r="J8" i="16" s="1"/>
  <c r="I7" i="16"/>
  <c r="J7" i="16" s="1"/>
  <c r="J6" i="16"/>
  <c r="H25" i="16"/>
  <c r="H11" i="14"/>
  <c r="H17" i="14" s="1"/>
  <c r="H8" i="3"/>
  <c r="H15" i="3"/>
  <c r="G7" i="3"/>
  <c r="H19" i="11"/>
  <c r="I19" i="11" s="1"/>
  <c r="K19" i="11" s="1"/>
  <c r="L48" i="11"/>
  <c r="J25" i="16" l="1"/>
  <c r="H7" i="3"/>
  <c r="H27" i="3" s="1"/>
  <c r="H22" i="11"/>
  <c r="I22" i="11" s="1"/>
  <c r="K22" i="11" s="1"/>
  <c r="L35" i="11" s="1"/>
  <c r="L68" i="11" s="1"/>
  <c r="L69" i="11" l="1"/>
  <c r="L70" i="11" s="1"/>
  <c r="L71" i="11" s="1"/>
  <c r="L72" i="11" s="1"/>
  <c r="L75" i="11" s="1"/>
</calcChain>
</file>

<file path=xl/sharedStrings.xml><?xml version="1.0" encoding="utf-8"?>
<sst xmlns="http://schemas.openxmlformats.org/spreadsheetml/2006/main" count="569" uniqueCount="295">
  <si>
    <t>ΜΟΝ. 
ΜΕΤΡ.</t>
  </si>
  <si>
    <t>Ποσότητες</t>
  </si>
  <si>
    <t>Τιμή  Μονάδος</t>
  </si>
  <si>
    <t>Μ.Μ.</t>
  </si>
  <si>
    <t>ΣΥΝΟΛΟ 1</t>
  </si>
  <si>
    <t>ΣΥΝΟΛΟ 3</t>
  </si>
  <si>
    <t>Ξυλότυποι ή σιδηρότυποι επιπέδων επιφανειών</t>
  </si>
  <si>
    <t>ΑΠΡΟΒΛΕΠΤΑ 15%</t>
  </si>
  <si>
    <t>Αποκατάσταση ασφαλτικών οδοστρωμάτων</t>
  </si>
  <si>
    <t>Σύνδεση αγωγού εξόδου φρεατίου υδροσυλλογής με το δίκτυο ομβρίων</t>
  </si>
  <si>
    <t>Ξυλότυποι ή σιδηρότυποι καμπύλων επιφανειών</t>
  </si>
  <si>
    <t>ΜΜ</t>
  </si>
  <si>
    <t>Kg</t>
  </si>
  <si>
    <t>Γ.Ε. + Ο.Ε.  18 %</t>
  </si>
  <si>
    <t>Καθαίρεση άοπλου σκυροδέματος</t>
  </si>
  <si>
    <t>Μ3</t>
  </si>
  <si>
    <t>τεμ</t>
  </si>
  <si>
    <t>Αναλάμποντες φανοί επισήμανσης κινδύνου</t>
  </si>
  <si>
    <t>Ρυμουλκούμενο στοιχείο με φωτεινό παλλόμενο βέλος παράκαμψης</t>
  </si>
  <si>
    <t>Α΄ ΟΜΑΔΑ</t>
  </si>
  <si>
    <t xml:space="preserve">       ΣΑ = </t>
  </si>
  <si>
    <t>Β΄ ΟΜΑΔΑ</t>
  </si>
  <si>
    <t xml:space="preserve">       ΣΒ = </t>
  </si>
  <si>
    <t>Χρήση αμφιπλεύρων εργοταξιακών στηθαίων οδού, τύπου New Jersey, από σκληρό πλαστικό</t>
  </si>
  <si>
    <t>Εκσκαφή ορυγμάτων υπογείων δικτύων σε έδαφος γαιώδες ή ημιβραχώδες, με πλάτος πυθμένα έως 3,00μ, με την πλευρική απόθεση των προϊόντων εκσκαφής και για βάθος ορύγματος έως 4,00μ</t>
  </si>
  <si>
    <t>Εκσκαφή ορυγμάτων υπογείων δικτύων σε έδαφος βραχώδες, με πλάτος πυθμένα έως 3,00μ, με την πλευρική απόθεση των προϊόντων εκσκαφής και για βάθος ορύγματος έως 4,00μ</t>
  </si>
  <si>
    <t>Προσαύξηση τιμών εκσκαφών ορυγμάτων υπογείων δικτύων για την αντιμετώπιση προσθέτων δυσχερειών από διερχόμενα κατά μήκος δίκτυα ΟΚΩ</t>
  </si>
  <si>
    <t>Φορτοεκφόρτωση προϊόντων εκσκαφής γαιωδών ή ημιβραχωδών και αμμοχαλίκων με την μεταφορά σε οποιαδήποτε απόσταση</t>
  </si>
  <si>
    <t>Φορτοεκφόρτωση βραχωδών υλικών ή καθαιρεθέντος οπλισμένου ή άοπλου σκυροδέματος με  την μεταφορά σε οποιαδήποτε απόσταση</t>
  </si>
  <si>
    <t>Καθαιρέσεις μεμονωμένων στοιχείων ή τμημάτων κατασκευών από οπλισμένο σκυρόδεμα</t>
  </si>
  <si>
    <t>Αποξήλωση πλακοστρώσεων πεζοδρομίων</t>
  </si>
  <si>
    <t>Παραγωγή,μεταφορά,διάστρωση,συμπύκνωση και συντήρηση σκυροδέματος για κατασκευές από σκυρόδεμα κατηγορίας C16/20</t>
  </si>
  <si>
    <t>Παραγωγή,μεταφορά,διάστρωση,συμπύκνωση και συντήρηση σκυροδέματος για κατασκευές από σκυρόδεμα κατηγορίας C20/25</t>
  </si>
  <si>
    <t>Βαθμίδες από μαλακό χυτοσίδηρο</t>
  </si>
  <si>
    <t>ΓΕΝ. ΣΥΝΟΛΟ</t>
  </si>
  <si>
    <t>ΣΥΝΟΛΟ 2</t>
  </si>
  <si>
    <t>ΑΝΑΘΕΩΡΗΣΗ</t>
  </si>
  <si>
    <t>ΠΕΡΙΓΡΑΦΗ ΕΡΓΑΣΙΩΝ</t>
  </si>
  <si>
    <t>Μερική</t>
  </si>
  <si>
    <t xml:space="preserve">Ολική (ανά ομάδα)             </t>
  </si>
  <si>
    <t>ΕΛΛΗΝΙΚΗ ΔΗΜΟΚΡΑΤΙΑ</t>
  </si>
  <si>
    <t>ΠΕΡΙΦΕΡΕΙΑ ΑΤΤΙΚΗΣ</t>
  </si>
  <si>
    <t>ΕΡΓΟ:</t>
  </si>
  <si>
    <t>ΑΡ. ΕΡΓΟΥ:</t>
  </si>
  <si>
    <t>ΕΡΓΟΛΑΒΙΑ:</t>
  </si>
  <si>
    <t>ΠΡΟΥΠ/ΣΜΟΣ:</t>
  </si>
  <si>
    <t xml:space="preserve">    ΔΑΠΑΝΗ               </t>
  </si>
  <si>
    <t>ΣΥΝΟΛΟ 4</t>
  </si>
  <si>
    <t>Αποξήλωση κρασπέδων</t>
  </si>
  <si>
    <t>Αποκατάσταση κρασπέδων</t>
  </si>
  <si>
    <t xml:space="preserve">Ανακατασκευή πλακόστρωσης </t>
  </si>
  <si>
    <t>Αγωγοί αποχετεύσεως ομβρίων από τσιμεντοσωλήνες σειράς 120 ονομαστικής διαμέτρου D400mm</t>
  </si>
  <si>
    <t>Αγωγοί αποχετεύσεως ομβρίων από τσιμεντοσωλήνες σειράς 120 ονομαστικής διαμέτρου D500mm</t>
  </si>
  <si>
    <t>Αγωγοί αποχετεύσεως ομβρίων από τσιμεντοσωλήνες σειράς 120 ονομαστικής διαμέτρου D600mm</t>
  </si>
  <si>
    <t>Αγωγοί αποχετεύσεως ομβρίων από τσιμεντοσωλήνες σειράς 120 ονομαστικής διαμέτρου D800mm</t>
  </si>
  <si>
    <t>Αγωγοί αποχετεύσεως ομβρίων από τσιμεντοσωλήνες σειράς 120 ονομαστικής διαμέτρου D1000mm</t>
  </si>
  <si>
    <t>Αγωγοί αποχέτευσης από σωλήνες PVC-U συμπαγούς τοιχώματος,SDR 41,Dεσ=200mm</t>
  </si>
  <si>
    <t>Αγωγοί αποχέτευσης από σωλήνες PVC-U συμπαγούς τοιχώματος,SDR 41,Dεσ=315mm</t>
  </si>
  <si>
    <t>Μόνωση με διπλή ασφαλτική επάλειψη</t>
  </si>
  <si>
    <t>Χάλυβας οπλισμού σκυροδέματος Β500C</t>
  </si>
  <si>
    <t>Χαλύβδινο δομικό πλέγμα Β500C</t>
  </si>
  <si>
    <t>Β-51</t>
  </si>
  <si>
    <t>Β-50</t>
  </si>
  <si>
    <t>Β-30.2</t>
  </si>
  <si>
    <t>Β-30.3</t>
  </si>
  <si>
    <t>Β-34</t>
  </si>
  <si>
    <t>Β-36</t>
  </si>
  <si>
    <t>Χρήση πινακίδων εργοταξιακής σήμανσης</t>
  </si>
  <si>
    <t>A.T.</t>
  </si>
  <si>
    <t>22.1</t>
  </si>
  <si>
    <t>22.2</t>
  </si>
  <si>
    <t>25.1</t>
  </si>
  <si>
    <t>25.2</t>
  </si>
  <si>
    <t>Υ(1.01)</t>
  </si>
  <si>
    <t>Υ(1.03)</t>
  </si>
  <si>
    <t>Υ(3.10.01.01)</t>
  </si>
  <si>
    <t>Υ(3.12)</t>
  </si>
  <si>
    <t>Υ(2.01)</t>
  </si>
  <si>
    <t>Υ(2.02)</t>
  </si>
  <si>
    <t>Υ(5.04)</t>
  </si>
  <si>
    <t>Υ(4.01)</t>
  </si>
  <si>
    <t>Υ(4.09)</t>
  </si>
  <si>
    <t>Υ(4.05)</t>
  </si>
  <si>
    <t>Υ(4.04)</t>
  </si>
  <si>
    <t>Υ(4.10)</t>
  </si>
  <si>
    <t>Υ(9.01)</t>
  </si>
  <si>
    <t>Υ(9.02)</t>
  </si>
  <si>
    <t>Υ(9.10.03)</t>
  </si>
  <si>
    <t>Υ(9.10.04)</t>
  </si>
  <si>
    <t>Υ(9.10.05)</t>
  </si>
  <si>
    <t>Υ(12.01.01.03)</t>
  </si>
  <si>
    <t>Υ(12.01.01.04)</t>
  </si>
  <si>
    <t>Υ(12.01.01.05)</t>
  </si>
  <si>
    <t>Υ(12.01.01.06)</t>
  </si>
  <si>
    <t>Υ(12.01.01.07)</t>
  </si>
  <si>
    <t>Υ(16.01)</t>
  </si>
  <si>
    <t>Υ(12.10.04)</t>
  </si>
  <si>
    <t>Υ(12.10.06)</t>
  </si>
  <si>
    <t>ΚΩΔ. ΑΝΑΘΕΩΡ.</t>
  </si>
  <si>
    <t>ΟΙΚ 6541</t>
  </si>
  <si>
    <t>ΗΛΜ 108</t>
  </si>
  <si>
    <t>ΥΔΡ 6081.1</t>
  </si>
  <si>
    <t>ΥΔΡ 6082.1</t>
  </si>
  <si>
    <t>ΥΔΡ 6087</t>
  </si>
  <si>
    <t>ΥΔΡ 6071</t>
  </si>
  <si>
    <t>ΥΔΡ 6072</t>
  </si>
  <si>
    <t>ΥΔΡ 6067</t>
  </si>
  <si>
    <t>ΥΔΡ 6068</t>
  </si>
  <si>
    <t>ΟΔΟ 4521Β</t>
  </si>
  <si>
    <t>ΥΔΡ 6808</t>
  </si>
  <si>
    <t>ΟΔΟ 2921</t>
  </si>
  <si>
    <t>ΥΔΡ 6807</t>
  </si>
  <si>
    <t>ΥΔΡ 6804</t>
  </si>
  <si>
    <t>ΥΔΡ 6301</t>
  </si>
  <si>
    <t>ΥΔΡ 6302</t>
  </si>
  <si>
    <t>ΥΔΡ 6326</t>
  </si>
  <si>
    <t>ΥΔΡ 6327</t>
  </si>
  <si>
    <t>ΥΔΡ 6329</t>
  </si>
  <si>
    <t>ΥΔΡ 6551.3</t>
  </si>
  <si>
    <t>ΥΔΡ 6551.6</t>
  </si>
  <si>
    <t>ΥΔΡ 6551.7</t>
  </si>
  <si>
    <t>ΥΔΡ 6551.4</t>
  </si>
  <si>
    <t>ΥΔΡ 6551.5</t>
  </si>
  <si>
    <t>ΥΔΡ 6744</t>
  </si>
  <si>
    <t>ΥΔΡ 6711.2</t>
  </si>
  <si>
    <t>ΥΔΡ 6711.4</t>
  </si>
  <si>
    <t>ΥΔΡ 6752</t>
  </si>
  <si>
    <t>ΥΔΡ 6753</t>
  </si>
  <si>
    <t>ΟΔΟ 2612</t>
  </si>
  <si>
    <t>ΥΔΡ 7018</t>
  </si>
  <si>
    <t>ΥΔΡ 6403</t>
  </si>
  <si>
    <t>ΟΔΟ 2411</t>
  </si>
  <si>
    <t>μήνες χρήσης</t>
  </si>
  <si>
    <t>μήνες λειτουργίας</t>
  </si>
  <si>
    <t>Α/Α</t>
  </si>
  <si>
    <t>ΚΩΔ.</t>
  </si>
  <si>
    <t>Υ(1.02)</t>
  </si>
  <si>
    <t>Υ(1.04)</t>
  </si>
  <si>
    <t>Υ(4.13)</t>
  </si>
  <si>
    <t>Υ(3.11.01.01)</t>
  </si>
  <si>
    <t>Καλύματα από φαιό χυτοσίδηρο (gray iron)</t>
  </si>
  <si>
    <t>Υ(11.01.01)</t>
  </si>
  <si>
    <t>Καλύματα από ελατό χυτοσίδηρο (ductile iron)</t>
  </si>
  <si>
    <t>Υ(11.01.02)</t>
  </si>
  <si>
    <t>Εσχάρες υδροσυλλογής από φαιό χυτοσίδηρο</t>
  </si>
  <si>
    <t>Υ(11.02.01)</t>
  </si>
  <si>
    <t>Εσχάρες υδροσυλλογής, από ελατό χυτοσίδηρο (ductile iron)</t>
  </si>
  <si>
    <t>Υ(11.02.04)</t>
  </si>
  <si>
    <t>Κατασκευές από χαλύβδινα προφίλ και λαμαρίνες με περιορισμένη μηχανουργική επεξεργασία</t>
  </si>
  <si>
    <t>Υ(11.05.02)</t>
  </si>
  <si>
    <t>ΥΔΡ 6751</t>
  </si>
  <si>
    <t>Επίχρησμα πατητό πάχους 2 εκ. εσωτερικών επιφανειών υπονόμων και φρεατίων</t>
  </si>
  <si>
    <t>Χ.  Καραμάνος</t>
  </si>
  <si>
    <t>21.1</t>
  </si>
  <si>
    <t>21.2</t>
  </si>
  <si>
    <t>21.3</t>
  </si>
  <si>
    <t>29.1</t>
  </si>
  <si>
    <t>29.2</t>
  </si>
  <si>
    <t>Γ.Ε.+ Ο.Ε.18 %  x ΑΠΟΛΟΓΙΣΤΙΚΑ</t>
  </si>
  <si>
    <t>Επιχώσεις ορυγμάτων υπογείων δικτύων με προϊόντα εκσκαφών με ιδιαίτερες απαιτήσεις συμπύκνωσης</t>
  </si>
  <si>
    <t>Επιχώσεις ορυγμάτων υπογείων δικτύων με διαβαθμισμένο θραυστό αμμοχάλικο λατομείου για συνολικό πάχος επίχωσης άνω των 50cm</t>
  </si>
  <si>
    <t>Υ(5.05.02)</t>
  </si>
  <si>
    <t>30.1</t>
  </si>
  <si>
    <t>30.2</t>
  </si>
  <si>
    <t>ΚΑΕ 9775.02.072</t>
  </si>
  <si>
    <t>Παραγωγή,μεταφορά,διάστρωση,συμπύκνωση και συντήρηση σκυροδέματος για κατασκευές από σκυρόδεμα κατηγορίας C12/15</t>
  </si>
  <si>
    <t>ΧΑΡΑΚΤΗΡΙΣΤΙΚΟ ΜΕΓΕΘΟΣ</t>
  </si>
  <si>
    <t>ΜΟΝΑΔΑ</t>
  </si>
  <si>
    <t>ΑΡΘΡΟ ΑΝΑΘΕΩΡΗΣΗΣ</t>
  </si>
  <si>
    <t>ΤΙΜΗ ΜΟΝΑΔΟΣ</t>
  </si>
  <si>
    <t>ΕΟ-2</t>
  </si>
  <si>
    <t>ΕΟ-3</t>
  </si>
  <si>
    <t>ΦΡΕΑΤΙΑ ΕΠΙΣΚΕΨΗΣ</t>
  </si>
  <si>
    <t>Μέσο ύψος φρεατίου</t>
  </si>
  <si>
    <t>Μόνωση με ασφαλτική επάλειψη</t>
  </si>
  <si>
    <t>Σκυρόδεμα φρεατίων C20/25</t>
  </si>
  <si>
    <t>Στεγανωτικό μάζης σκυροδέματος</t>
  </si>
  <si>
    <t>Σιδηρά είδη φρεατίων</t>
  </si>
  <si>
    <t>Υπόβαση πάχους 0,20 μ.</t>
  </si>
  <si>
    <t>Βάση πάχους 0,20μ.</t>
  </si>
  <si>
    <t>Ασφαλτική επάλειψη</t>
  </si>
  <si>
    <t>Ασφαλτική στρώση βάσης πάχους 0,05 μ.</t>
  </si>
  <si>
    <t>Στρώση κυκλοφορίας 0,05 μ.</t>
  </si>
  <si>
    <t xml:space="preserve">ποσότητα </t>
  </si>
  <si>
    <t>δαπάνη</t>
  </si>
  <si>
    <t xml:space="preserve">Σιδηρός οπλισμός  B500C(στον κορμό 2 εσχάρες (μέσα -έξω) Φ12/14)  </t>
  </si>
  <si>
    <t>m</t>
  </si>
  <si>
    <t>m3</t>
  </si>
  <si>
    <t>m2</t>
  </si>
  <si>
    <t>kgr</t>
  </si>
  <si>
    <t>ΚΩΔ</t>
  </si>
  <si>
    <t>άοπλο σκυρόδεμα έδρασης C12/15</t>
  </si>
  <si>
    <t>Επίχρησμα πατητό πάχους 2 εκ. εσωτερικών επιφανειών υπονόμων και φρεατίων(τσιμεντοκονία οροφής)</t>
  </si>
  <si>
    <t>ΔΑΠΑΝΗ ΦΡΕΑΤΙΟΥ</t>
  </si>
  <si>
    <t>ΥΔΡ 6711.1</t>
  </si>
  <si>
    <t>ΦΠΑ 24%</t>
  </si>
  <si>
    <t>Σκυρόδεμα  C12/15 μόρφωσης ροής φρεατίων</t>
  </si>
  <si>
    <t>ΑΝΑΛΥΤΙΚΗ ΠΡΟΜΕΤΡΗΣΗ ΦΡΕΑΤΙΩΝ</t>
  </si>
  <si>
    <t>Α/Α ΦΡΕΑΤΙΟΥ</t>
  </si>
  <si>
    <t xml:space="preserve">ΑΠΌ </t>
  </si>
  <si>
    <t>ΕΩΣ</t>
  </si>
  <si>
    <t>ΜΗΚΟΣ</t>
  </si>
  <si>
    <t>ΜΗΚΗ ΑΓΩΓΩΝ</t>
  </si>
  <si>
    <t>ΟΝΟΜΑΣΤΙΚΗ ΔΙΑΜΕΤΡΟΣ</t>
  </si>
  <si>
    <t>Φ800</t>
  </si>
  <si>
    <t>Φ1000</t>
  </si>
  <si>
    <t xml:space="preserve">ΣΚΑΜΜΑ </t>
  </si>
  <si>
    <t>ΠΛΑΤΟΣ</t>
  </si>
  <si>
    <t>ΒΑΘΟΣ ΕΔΡΑΣΗΣ</t>
  </si>
  <si>
    <t>ΜΕΣΟ ΒΑΘΟΣ</t>
  </si>
  <si>
    <t>ΕΓΚΙΒΩΤΙΣΜΟΣ</t>
  </si>
  <si>
    <t>ΠΛΑΤΟΣ ΕΔΡΑΣΗΣ</t>
  </si>
  <si>
    <t xml:space="preserve">Β </t>
  </si>
  <si>
    <t xml:space="preserve">Υ1 </t>
  </si>
  <si>
    <t>Wmin</t>
  </si>
  <si>
    <t>Υ2</t>
  </si>
  <si>
    <t xml:space="preserve">L  </t>
  </si>
  <si>
    <t>Β1-4-3-12</t>
  </si>
  <si>
    <t>Β1-4-3-11</t>
  </si>
  <si>
    <t>Β1-4-3-10</t>
  </si>
  <si>
    <t>Β1-4-3-9</t>
  </si>
  <si>
    <t>Β1-4-3-8</t>
  </si>
  <si>
    <t>Β1-4-3-7</t>
  </si>
  <si>
    <t>Β1-4-3-6</t>
  </si>
  <si>
    <t>Β1-4-3-5</t>
  </si>
  <si>
    <t>Β1-4-3-4</t>
  </si>
  <si>
    <t>Β1-4-3-3</t>
  </si>
  <si>
    <t>Β1-4-3-2</t>
  </si>
  <si>
    <t>Β1-4-3-1</t>
  </si>
  <si>
    <t>Β1-4-3</t>
  </si>
  <si>
    <t>ΣΥΓΚΕΝΤΡΩΤΙΚΗ ΠΡΟΜΕΤΡΗΣΗ ΕΡΓΑΣΙΩΝ ΚΑΙ ΚΟΣΤΟΛΟΓΗΣΗ ΑΓΩΓΩΝ</t>
  </si>
  <si>
    <t>ΤΙΜΗ ΜΟΝΑΔΑΣ  (2013)</t>
  </si>
  <si>
    <t>Μέσο βάθος εκσκαφής</t>
  </si>
  <si>
    <r>
      <t>Μ</t>
    </r>
    <r>
      <rPr>
        <vertAlign val="superscript"/>
        <sz val="10"/>
        <rFont val="Arial"/>
        <family val="2"/>
      </rPr>
      <t>3</t>
    </r>
  </si>
  <si>
    <t>ΠΟΣΟΤΗΤΑ</t>
  </si>
  <si>
    <t>ΔΑΠΑΝΗ</t>
  </si>
  <si>
    <t>Α΄ ΟΜΑΔΑ-Εργοταξιακή σήμανση - εκσκαφές - επιχώσεις κ.λ.π.</t>
  </si>
  <si>
    <t>ΣΥΝΟΛΟ</t>
  </si>
  <si>
    <t>Β΄ ΟΜΑΔΑ-Ξυλότυποι - Σκυροδέματα - Δίκτυα κ.λ.π.</t>
  </si>
  <si>
    <r>
      <t>Μ</t>
    </r>
    <r>
      <rPr>
        <vertAlign val="superscript"/>
        <sz val="10"/>
        <rFont val="Arial"/>
        <family val="2"/>
      </rPr>
      <t>3</t>
    </r>
    <r>
      <rPr>
        <sz val="10"/>
        <rFont val="Arial"/>
        <charset val="161"/>
      </rPr>
      <t/>
    </r>
  </si>
  <si>
    <t>Μ2</t>
  </si>
  <si>
    <t>ΣΥΝΟΛΙΚΗ ΔΑΠΑΝΗ ΑΓΩΓΟΥ ΑΝΑ ΜΜ</t>
  </si>
  <si>
    <t>m4</t>
  </si>
  <si>
    <t>m5</t>
  </si>
  <si>
    <t>m6</t>
  </si>
  <si>
    <t>m7</t>
  </si>
  <si>
    <t>Α-2</t>
  </si>
  <si>
    <t>Α-3</t>
  </si>
  <si>
    <t>Σκυρόδεμα  C12/15 εγκιβωτισμού</t>
  </si>
  <si>
    <t>Ξυλότυποι ή σιδηρότυποι επιπέδων επιφανειών (εσωτερικοί)</t>
  </si>
  <si>
    <t>Ξυλότυποι ή σιδηρότυποι επιπέδων επιφανειών (εξωτερικοί)</t>
  </si>
  <si>
    <t xml:space="preserve">Σιδηρός οπλισμός  B500C(στον κορμό 2 πλέγματα (μέσα -έξω) Τ196)  </t>
  </si>
  <si>
    <t>Κατασκευές από χαλύβδινα προφίλ και λαμαρίνες με περιορισμένη μηχανουργική επεξεργασία (Ειδικό χυτοσιδηρό μέτωπο)</t>
  </si>
  <si>
    <t>ΦΡΕΑΤΙΑ ΥΔΡΟΣΥΛΛΟΓΗΣ</t>
  </si>
  <si>
    <t>Ποσότητες ακριβείς</t>
  </si>
  <si>
    <r>
      <t>Μ</t>
    </r>
    <r>
      <rPr>
        <vertAlign val="superscript"/>
        <sz val="10"/>
        <color indexed="8"/>
        <rFont val="Arial"/>
        <family val="2"/>
      </rPr>
      <t>3</t>
    </r>
  </si>
  <si>
    <r>
      <t>Μ</t>
    </r>
    <r>
      <rPr>
        <vertAlign val="superscript"/>
        <sz val="10"/>
        <rFont val="Arial"/>
        <family val="2"/>
        <charset val="161"/>
      </rPr>
      <t>2</t>
    </r>
  </si>
  <si>
    <r>
      <t>«Κατασκευή αγωγών ομβρίων στις οδούς Αναργύρων και Γ. Παπανδρέου στο Δήμο Αγ. Παρασκευής</t>
    </r>
    <r>
      <rPr>
        <b/>
        <sz val="12"/>
        <color indexed="8"/>
        <rFont val="Arial"/>
        <family val="2"/>
        <charset val="161"/>
      </rPr>
      <t>»</t>
    </r>
  </si>
  <si>
    <t>Χωματουργικά - Σήμανση- Εργασίες οδοποιϊας – οδοστρωσίας</t>
  </si>
  <si>
    <t>Γ΄ ΟΜΑΔΑ</t>
  </si>
  <si>
    <t xml:space="preserve">Κατασκευές από σκυρόδεμα-Οικοδομικές εργασίες- Λοιπές εργασίες </t>
  </si>
  <si>
    <t>Σωληνώσεις – Δίκτυα - Μεταλλικά στοιχεία και κατασκευές</t>
  </si>
  <si>
    <t>ΕΠΩΝΥΜΙΑ ΔΙΑΓΩΝΙΖΟΜΕΝΟΥ</t>
  </si>
  <si>
    <t>ΠΟΣΟΣΤΑ ΕΚΠΤΩΣΗΣ</t>
  </si>
  <si>
    <t xml:space="preserve">ΟΜΑΔΑ Α </t>
  </si>
  <si>
    <t>ΟΜΑΔΑ Β</t>
  </si>
  <si>
    <t>ΟΜΑΔΑ Γ</t>
  </si>
  <si>
    <t>ΕΜ</t>
  </si>
  <si>
    <t>Υ(16.04)</t>
  </si>
  <si>
    <t>Kατασκευή σύνδεσης ακινήτου αγωγού ακαθάρτων   με σωλήνες από πλαστικό σωλήνα ΡVC σειράς 41 ονομαστικής διαμέτρου Φ160</t>
  </si>
  <si>
    <t>Ασφαλτική στρώση κυκλοφορίας αστικής οδού</t>
  </si>
  <si>
    <t>Απόξεση ασφαλτικού τάπητα αστικής οδού με χρήση φρέζας</t>
  </si>
  <si>
    <t>ΟΔΟ-1132</t>
  </si>
  <si>
    <t>Δ-2A</t>
  </si>
  <si>
    <t>ΟΔΟ-4521Β</t>
  </si>
  <si>
    <t>Δ-8Α</t>
  </si>
  <si>
    <t>25.3</t>
  </si>
  <si>
    <t>25.4</t>
  </si>
  <si>
    <t>25.5</t>
  </si>
  <si>
    <t>28.1</t>
  </si>
  <si>
    <t>28.2</t>
  </si>
  <si>
    <t>O ΤΜ/ΡΧΗΣ ΜΕΛΕΤΩΝ</t>
  </si>
  <si>
    <t xml:space="preserve">Η ΑΝ. ΔΙΕΥΘΥΝΤΡΙΑ  </t>
  </si>
  <si>
    <t>Η ΣΥΝΤΑΞΑΣΑ</t>
  </si>
  <si>
    <t xml:space="preserve">Μ. ΚΑΛΥΒΙΩΤΗ
Πολ. Μηχ. με Α’ β.
</t>
  </si>
  <si>
    <t xml:space="preserve">Σ. ΛΑΖΑΡΙΔΗΣ
Πολ. Μηχ. με  Α΄ β.
</t>
  </si>
  <si>
    <t xml:space="preserve">Α. ΔΕΛΗΓΙΩΡΓΗ
Αρχ. Μηχ. με Α΄β. 
</t>
  </si>
  <si>
    <t xml:space="preserve">της
ΔΙΕΥΘΥΝΣΗΣ ΕΡΓΩΝ ΑΝΤΙΠΛΗΜΜΥΡΙΚΗΣ ΠΡΟΣΤΑΣΙΑΣ ΠΕΡΙΦΕΡΕΙΑΣ ΑΤΤΙΚΗΣ
της
ΔΙΕΥΘΥΝΣΗΣ 
ΥΔΡΑΥΛΙΚΩΝ ΕΡΓΩΝ ΠΕΡΙΦΕΡΕΙΑΣ ΑΤΤΙΚΗΣ
</t>
  </si>
  <si>
    <t xml:space="preserve">Δ/ΝΣΗ ΕΡΓΩΝ ΑΝΤΙΠΛΗΜΜΥΡΙΚΗΣ </t>
  </si>
  <si>
    <t>ΠΡΟΣΤΑΣΙΑΣ ΠΕΡΙΦΕΡΕΙΑΣ ΑΤΤΙΚΗΣ</t>
  </si>
  <si>
    <t>ΑΠΟΛΟΓΙΣΤΙΚΑ(ΑΡΧΑΙΟΛΟΓΙΑ-Ο.Κ.Ω.)</t>
  </si>
  <si>
    <t>ΓΕΝΙΚΗ ΔΙΕΥΘΥΝΣΗ ΑΝΑΠΤΥΞΙΑΚΟΥ ΠΡΟΓΡΑΜΜΑΤΙΣΜΟΥ ΕΡΓΩΝ  ΚΑΙ ΥΠΟΔΟΜΩΝ</t>
  </si>
  <si>
    <t xml:space="preserve">                                                                                   6. ΠΡΟΫΠΟΛΟΓΙΣΜΟΣ ΜΕΛΕΤΗΣ</t>
  </si>
  <si>
    <t xml:space="preserve">ΚΑΛΛΙΘΕΑ  21 - 02-2017      </t>
  </si>
  <si>
    <t xml:space="preserve">Εγκρίθηκε με την Α.Π. 357  / 24-2-  2017   Απόφαση της Οικονομικής Επιτροπής
 της Περιφέρειας Αττικής
             Ο Πρόεδρος της Οικονομικής Επιτροπής της Περιφέρειας Αττικής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</si>
</sst>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"/>
  </numFmts>
  <fonts count="35" x14ac:knownFonts="1">
    <font>
      <sz val="10"/>
      <name val="Arial"/>
      <charset val="161"/>
    </font>
    <font>
      <sz val="10"/>
      <name val="Arial"/>
      <charset val="161"/>
    </font>
    <font>
      <sz val="10"/>
      <name val="Arial Greek"/>
      <charset val="161"/>
    </font>
    <font>
      <b/>
      <sz val="10"/>
      <name val="Arial"/>
      <family val="2"/>
    </font>
    <font>
      <b/>
      <sz val="11"/>
      <name val="Arial"/>
      <family val="2"/>
      <charset val="161"/>
    </font>
    <font>
      <sz val="10"/>
      <name val="Times New Roman Greek"/>
      <family val="1"/>
      <charset val="161"/>
    </font>
    <font>
      <sz val="10"/>
      <name val="Arial"/>
      <family val="2"/>
    </font>
    <font>
      <b/>
      <sz val="10"/>
      <name val="Arial"/>
      <family val="2"/>
      <charset val="161"/>
    </font>
    <font>
      <sz val="11"/>
      <name val="Arial"/>
      <family val="2"/>
      <charset val="161"/>
    </font>
    <font>
      <sz val="10"/>
      <name val="Arial"/>
      <family val="2"/>
      <charset val="161"/>
    </font>
    <font>
      <b/>
      <sz val="9"/>
      <name val="Arial"/>
      <family val="2"/>
      <charset val="161"/>
    </font>
    <font>
      <b/>
      <sz val="11"/>
      <color indexed="8"/>
      <name val="Times New Roman"/>
      <family val="1"/>
      <charset val="161"/>
    </font>
    <font>
      <b/>
      <sz val="12"/>
      <name val="Arial"/>
      <family val="2"/>
      <charset val="161"/>
    </font>
    <font>
      <b/>
      <sz val="8"/>
      <name val="Times New Roman"/>
      <family val="1"/>
      <charset val="161"/>
    </font>
    <font>
      <sz val="10"/>
      <color indexed="8"/>
      <name val="Arial"/>
      <family val="2"/>
    </font>
    <font>
      <sz val="10"/>
      <color indexed="8"/>
      <name val="Times New Roman Greek"/>
      <family val="1"/>
      <charset val="161"/>
    </font>
    <font>
      <sz val="8"/>
      <name val="Arial"/>
      <family val="2"/>
    </font>
    <font>
      <sz val="10"/>
      <color indexed="8"/>
      <name val="Arial"/>
      <family val="2"/>
      <charset val="161"/>
    </font>
    <font>
      <b/>
      <u/>
      <sz val="10"/>
      <name val="Arial"/>
      <family val="2"/>
      <charset val="161"/>
    </font>
    <font>
      <vertAlign val="superscript"/>
      <sz val="10"/>
      <name val="Arial"/>
      <family val="2"/>
    </font>
    <font>
      <sz val="12"/>
      <name val="Arial"/>
      <family val="2"/>
    </font>
    <font>
      <sz val="12"/>
      <name val="Times New Roman Greek"/>
      <family val="1"/>
      <charset val="161"/>
    </font>
    <font>
      <sz val="12"/>
      <name val="Arial"/>
      <family val="2"/>
      <charset val="161"/>
    </font>
    <font>
      <sz val="11"/>
      <name val="Arial"/>
      <family val="2"/>
    </font>
    <font>
      <b/>
      <sz val="11"/>
      <name val="Arial"/>
      <family val="2"/>
    </font>
    <font>
      <sz val="11"/>
      <name val="Times New Roman Greek"/>
      <family val="1"/>
      <charset val="161"/>
    </font>
    <font>
      <b/>
      <u/>
      <sz val="11"/>
      <name val="Arial"/>
      <family val="2"/>
      <charset val="161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  <charset val="161"/>
    </font>
    <font>
      <sz val="10"/>
      <color indexed="10"/>
      <name val="Arial"/>
      <family val="2"/>
    </font>
    <font>
      <b/>
      <sz val="10"/>
      <name val="Times New Roman Greek"/>
      <family val="1"/>
      <charset val="161"/>
    </font>
    <font>
      <b/>
      <sz val="12"/>
      <color indexed="8"/>
      <name val="Arial"/>
      <family val="2"/>
      <charset val="161"/>
    </font>
    <font>
      <b/>
      <sz val="11"/>
      <color indexed="8"/>
      <name val="Arial"/>
      <family val="2"/>
      <charset val="161"/>
    </font>
    <font>
      <sz val="9"/>
      <name val="Times New Roman"/>
      <family val="1"/>
      <charset val="161"/>
    </font>
    <font>
      <sz val="9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33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46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/>
    <xf numFmtId="0" fontId="6" fillId="0" borderId="5" xfId="2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4" fontId="6" fillId="0" borderId="3" xfId="2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/>
    <xf numFmtId="0" fontId="0" fillId="0" borderId="1" xfId="0" applyFill="1" applyBorder="1" applyAlignment="1">
      <alignment horizontal="center"/>
    </xf>
    <xf numFmtId="0" fontId="14" fillId="0" borderId="1" xfId="2" applyFont="1" applyBorder="1" applyAlignment="1">
      <alignment vertical="center" wrapText="1"/>
    </xf>
    <xf numFmtId="0" fontId="6" fillId="0" borderId="9" xfId="2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0" fillId="0" borderId="0" xfId="0" applyNumberFormat="1"/>
    <xf numFmtId="4" fontId="7" fillId="0" borderId="12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17" fillId="0" borderId="13" xfId="0" quotePrefix="1" applyFont="1" applyFill="1" applyBorder="1" applyAlignment="1">
      <alignment horizontal="left" vertical="center" wrapText="1"/>
    </xf>
    <xf numFmtId="0" fontId="14" fillId="0" borderId="13" xfId="0" quotePrefix="1" applyFont="1" applyFill="1" applyBorder="1" applyAlignment="1">
      <alignment horizontal="center" vertical="center" wrapText="1"/>
    </xf>
    <xf numFmtId="164" fontId="14" fillId="0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4" fillId="0" borderId="14" xfId="3" applyFont="1" applyBorder="1" applyAlignment="1">
      <alignment horizontal="center" vertical="center" wrapText="1"/>
    </xf>
    <xf numFmtId="0" fontId="24" fillId="0" borderId="15" xfId="3" applyFont="1" applyBorder="1" applyAlignment="1">
      <alignment horizontal="center" vertical="center" wrapText="1"/>
    </xf>
    <xf numFmtId="0" fontId="23" fillId="0" borderId="0" xfId="2" applyFont="1" applyBorder="1" applyAlignment="1">
      <alignment vertical="center"/>
    </xf>
    <xf numFmtId="0" fontId="24" fillId="0" borderId="16" xfId="2" applyFont="1" applyBorder="1" applyAlignment="1">
      <alignment horizontal="left" vertical="center"/>
    </xf>
    <xf numFmtId="0" fontId="26" fillId="0" borderId="9" xfId="2" applyFont="1" applyBorder="1" applyAlignment="1">
      <alignment horizontal="center" vertical="center"/>
    </xf>
    <xf numFmtId="0" fontId="24" fillId="0" borderId="17" xfId="2" applyFont="1" applyBorder="1" applyAlignment="1">
      <alignment horizontal="left" vertical="center"/>
    </xf>
    <xf numFmtId="0" fontId="24" fillId="0" borderId="9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 wrapText="1"/>
    </xf>
    <xf numFmtId="0" fontId="24" fillId="0" borderId="9" xfId="3" applyFont="1" applyBorder="1" applyAlignment="1">
      <alignment horizontal="center" vertical="center" wrapText="1"/>
    </xf>
    <xf numFmtId="0" fontId="24" fillId="0" borderId="18" xfId="3" applyFont="1" applyBorder="1" applyAlignment="1">
      <alignment horizontal="center" vertical="center" wrapText="1"/>
    </xf>
    <xf numFmtId="0" fontId="24" fillId="0" borderId="19" xfId="2" applyFont="1" applyBorder="1" applyAlignment="1">
      <alignment horizontal="left" vertical="center"/>
    </xf>
    <xf numFmtId="0" fontId="6" fillId="0" borderId="19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4" fontId="6" fillId="0" borderId="9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4" xfId="2" applyNumberFormat="1" applyFont="1" applyBorder="1" applyAlignment="1">
      <alignment horizontal="center" vertical="center"/>
    </xf>
    <xf numFmtId="4" fontId="6" fillId="0" borderId="21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vertical="center" wrapText="1"/>
    </xf>
    <xf numFmtId="3" fontId="6" fillId="0" borderId="9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/>
    </xf>
    <xf numFmtId="4" fontId="6" fillId="0" borderId="9" xfId="2" applyNumberFormat="1" applyFont="1" applyBorder="1" applyAlignment="1">
      <alignment vertical="center"/>
    </xf>
    <xf numFmtId="4" fontId="6" fillId="0" borderId="18" xfId="2" applyNumberFormat="1" applyFont="1" applyBorder="1" applyAlignment="1">
      <alignment vertical="center"/>
    </xf>
    <xf numFmtId="0" fontId="6" fillId="0" borderId="22" xfId="2" applyFont="1" applyBorder="1" applyAlignment="1">
      <alignment vertical="center" wrapText="1"/>
    </xf>
    <xf numFmtId="4" fontId="6" fillId="0" borderId="1" xfId="2" applyNumberFormat="1" applyFont="1" applyBorder="1" applyAlignment="1">
      <alignment vertical="center"/>
    </xf>
    <xf numFmtId="4" fontId="6" fillId="0" borderId="4" xfId="2" applyNumberFormat="1" applyFont="1" applyBorder="1" applyAlignment="1">
      <alignment vertical="center"/>
    </xf>
    <xf numFmtId="0" fontId="14" fillId="0" borderId="9" xfId="2" applyFont="1" applyBorder="1" applyAlignment="1">
      <alignment horizontal="center" vertical="center"/>
    </xf>
    <xf numFmtId="4" fontId="14" fillId="0" borderId="1" xfId="2" applyNumberFormat="1" applyFont="1" applyBorder="1" applyAlignment="1">
      <alignment vertical="center"/>
    </xf>
    <xf numFmtId="4" fontId="14" fillId="0" borderId="4" xfId="2" applyNumberFormat="1" applyFont="1" applyBorder="1" applyAlignment="1">
      <alignment vertical="center"/>
    </xf>
    <xf numFmtId="0" fontId="29" fillId="0" borderId="19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30" fillId="2" borderId="1" xfId="2" applyFont="1" applyFill="1" applyBorder="1" applyAlignment="1">
      <alignment vertical="center"/>
    </xf>
    <xf numFmtId="4" fontId="3" fillId="2" borderId="4" xfId="2" applyNumberFormat="1" applyFont="1" applyFill="1" applyBorder="1" applyAlignment="1">
      <alignment horizontal="right" vertical="center"/>
    </xf>
    <xf numFmtId="0" fontId="29" fillId="0" borderId="11" xfId="2" applyFont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29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vertical="center"/>
    </xf>
    <xf numFmtId="0" fontId="30" fillId="2" borderId="5" xfId="2" applyFont="1" applyFill="1" applyBorder="1" applyAlignment="1">
      <alignment vertical="center"/>
    </xf>
    <xf numFmtId="4" fontId="3" fillId="2" borderId="7" xfId="2" applyNumberFormat="1" applyFont="1" applyFill="1" applyBorder="1" applyAlignment="1">
      <alignment horizontal="right" vertical="center"/>
    </xf>
    <xf numFmtId="0" fontId="29" fillId="0" borderId="10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" fontId="6" fillId="0" borderId="3" xfId="2" applyNumberFormat="1" applyFont="1" applyBorder="1" applyAlignment="1">
      <alignment horizontal="right" vertical="center"/>
    </xf>
    <xf numFmtId="4" fontId="6" fillId="0" borderId="3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4" fontId="6" fillId="0" borderId="6" xfId="2" applyNumberFormat="1" applyFont="1" applyBorder="1" applyAlignment="1">
      <alignment horizontal="right" vertical="center"/>
    </xf>
    <xf numFmtId="2" fontId="6" fillId="0" borderId="1" xfId="2" applyNumberFormat="1" applyFont="1" applyBorder="1" applyAlignment="1">
      <alignment vertical="center"/>
    </xf>
    <xf numFmtId="1" fontId="6" fillId="0" borderId="9" xfId="2" applyNumberFormat="1" applyFont="1" applyBorder="1" applyAlignment="1">
      <alignment horizontal="right" vertical="center"/>
    </xf>
    <xf numFmtId="0" fontId="17" fillId="0" borderId="13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3" xfId="0" quotePrefix="1" applyFont="1" applyFill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/>
    </xf>
    <xf numFmtId="4" fontId="6" fillId="0" borderId="14" xfId="2" applyNumberFormat="1" applyFont="1" applyBorder="1" applyAlignment="1">
      <alignment horizontal="right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6" fillId="0" borderId="24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4" fontId="6" fillId="0" borderId="25" xfId="2" applyNumberFormat="1" applyFont="1" applyBorder="1" applyAlignment="1">
      <alignment horizontal="right" vertical="center"/>
    </xf>
    <xf numFmtId="4" fontId="6" fillId="0" borderId="25" xfId="2" applyNumberFormat="1" applyFont="1" applyBorder="1" applyAlignment="1">
      <alignment horizontal="left" vertical="center"/>
    </xf>
    <xf numFmtId="4" fontId="6" fillId="0" borderId="17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4" fontId="6" fillId="0" borderId="20" xfId="2" applyNumberFormat="1" applyFont="1" applyBorder="1" applyAlignment="1">
      <alignment horizontal="left" vertical="center"/>
    </xf>
    <xf numFmtId="4" fontId="6" fillId="0" borderId="26" xfId="2" applyNumberFormat="1" applyFont="1" applyBorder="1" applyAlignment="1">
      <alignment vertical="center"/>
    </xf>
    <xf numFmtId="4" fontId="7" fillId="0" borderId="25" xfId="2" applyNumberFormat="1" applyFont="1" applyBorder="1" applyAlignment="1">
      <alignment horizontal="left" vertical="center"/>
    </xf>
    <xf numFmtId="4" fontId="7" fillId="0" borderId="20" xfId="2" applyNumberFormat="1" applyFont="1" applyBorder="1" applyAlignment="1">
      <alignment horizontal="left" vertical="center"/>
    </xf>
    <xf numFmtId="4" fontId="7" fillId="0" borderId="4" xfId="2" applyNumberFormat="1" applyFont="1" applyBorder="1" applyAlignment="1">
      <alignment vertical="center"/>
    </xf>
    <xf numFmtId="4" fontId="6" fillId="0" borderId="20" xfId="2" applyNumberFormat="1" applyFont="1" applyBorder="1" applyAlignment="1">
      <alignment horizontal="right" vertical="center"/>
    </xf>
    <xf numFmtId="4" fontId="6" fillId="0" borderId="20" xfId="2" applyNumberFormat="1" applyFont="1" applyBorder="1" applyAlignment="1">
      <alignment vertical="center"/>
    </xf>
    <xf numFmtId="4" fontId="6" fillId="0" borderId="1" xfId="4" applyNumberFormat="1" applyFont="1" applyBorder="1" applyAlignment="1">
      <alignment horizontal="center" vertical="center"/>
    </xf>
    <xf numFmtId="4" fontId="7" fillId="0" borderId="18" xfId="2" applyNumberFormat="1" applyFont="1" applyBorder="1" applyAlignment="1">
      <alignment vertical="center"/>
    </xf>
    <xf numFmtId="4" fontId="7" fillId="0" borderId="27" xfId="2" applyNumberFormat="1" applyFont="1" applyBorder="1" applyAlignment="1">
      <alignment vertical="center"/>
    </xf>
    <xf numFmtId="4" fontId="3" fillId="0" borderId="1" xfId="2" applyNumberFormat="1" applyFont="1" applyBorder="1" applyAlignment="1">
      <alignment horizontal="left" vertical="center"/>
    </xf>
    <xf numFmtId="0" fontId="6" fillId="0" borderId="28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29" xfId="2" applyFont="1" applyBorder="1" applyAlignment="1">
      <alignment vertical="center"/>
    </xf>
    <xf numFmtId="0" fontId="3" fillId="0" borderId="5" xfId="3" applyFont="1" applyBorder="1" applyAlignment="1">
      <alignment horizontal="center"/>
    </xf>
    <xf numFmtId="4" fontId="6" fillId="0" borderId="30" xfId="2" applyNumberFormat="1" applyFont="1" applyBorder="1" applyAlignment="1">
      <alignment horizontal="right" vertical="center"/>
    </xf>
    <xf numFmtId="4" fontId="7" fillId="2" borderId="30" xfId="2" applyNumberFormat="1" applyFont="1" applyFill="1" applyBorder="1" applyAlignment="1">
      <alignment horizontal="left" vertical="center"/>
    </xf>
    <xf numFmtId="4" fontId="7" fillId="2" borderId="5" xfId="2" applyNumberFormat="1" applyFont="1" applyFill="1" applyBorder="1" applyAlignment="1">
      <alignment horizontal="left" vertical="center"/>
    </xf>
    <xf numFmtId="4" fontId="7" fillId="2" borderId="31" xfId="2" applyNumberFormat="1" applyFont="1" applyFill="1" applyBorder="1" applyAlignment="1">
      <alignment vertical="center"/>
    </xf>
    <xf numFmtId="0" fontId="31" fillId="0" borderId="0" xfId="0" applyFont="1" applyAlignment="1">
      <alignment horizontal="right" vertical="top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32" fillId="0" borderId="0" xfId="0" applyFont="1" applyAlignment="1">
      <alignment horizontal="center" vertical="top" wrapText="1"/>
    </xf>
    <xf numFmtId="0" fontId="8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6" fillId="0" borderId="3" xfId="2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4" fontId="20" fillId="0" borderId="0" xfId="2" applyNumberFormat="1" applyFont="1" applyAlignment="1">
      <alignment vertical="center"/>
    </xf>
    <xf numFmtId="4" fontId="9" fillId="0" borderId="1" xfId="2" applyNumberFormat="1" applyFont="1" applyBorder="1" applyAlignment="1">
      <alignment vertical="center"/>
    </xf>
    <xf numFmtId="4" fontId="6" fillId="0" borderId="0" xfId="2" applyNumberFormat="1" applyFont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quotePrefix="1" applyFont="1" applyFill="1" applyBorder="1" applyAlignment="1">
      <alignment horizontal="left" vertical="center" wrapText="1"/>
    </xf>
    <xf numFmtId="0" fontId="17" fillId="0" borderId="0" xfId="0" quotePrefix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12" fillId="0" borderId="0" xfId="0" applyFont="1" applyFill="1" applyBorder="1"/>
    <xf numFmtId="0" fontId="31" fillId="0" borderId="0" xfId="0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wrapText="1"/>
    </xf>
    <xf numFmtId="0" fontId="8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top" wrapText="1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/>
    </xf>
    <xf numFmtId="4" fontId="14" fillId="0" borderId="0" xfId="2" applyNumberFormat="1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29" fillId="0" borderId="0" xfId="2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vertical="center"/>
    </xf>
    <xf numFmtId="4" fontId="3" fillId="0" borderId="0" xfId="2" applyNumberFormat="1" applyFont="1" applyFill="1" applyBorder="1" applyAlignment="1">
      <alignment horizontal="right" vertical="center"/>
    </xf>
    <xf numFmtId="2" fontId="6" fillId="0" borderId="0" xfId="2" applyNumberFormat="1" applyFont="1" applyFill="1" applyBorder="1" applyAlignment="1">
      <alignment vertical="center"/>
    </xf>
    <xf numFmtId="0" fontId="29" fillId="0" borderId="0" xfId="2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vertical="center"/>
    </xf>
    <xf numFmtId="4" fontId="6" fillId="0" borderId="0" xfId="2" applyNumberFormat="1" applyFont="1" applyFill="1" applyBorder="1" applyAlignment="1">
      <alignment horizontal="left" vertical="center"/>
    </xf>
    <xf numFmtId="4" fontId="7" fillId="0" borderId="0" xfId="2" applyNumberFormat="1" applyFont="1" applyFill="1" applyBorder="1" applyAlignment="1">
      <alignment horizontal="left" vertical="center"/>
    </xf>
    <xf numFmtId="4" fontId="7" fillId="0" borderId="0" xfId="2" applyNumberFormat="1" applyFont="1" applyFill="1" applyBorder="1" applyAlignment="1">
      <alignment vertical="center"/>
    </xf>
    <xf numFmtId="4" fontId="6" fillId="0" borderId="0" xfId="4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4" fontId="3" fillId="0" borderId="0" xfId="2" applyNumberFormat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/>
    </xf>
    <xf numFmtId="0" fontId="20" fillId="0" borderId="0" xfId="2" applyFont="1" applyFill="1" applyBorder="1" applyAlignment="1">
      <alignment vertical="center"/>
    </xf>
    <xf numFmtId="4" fontId="20" fillId="0" borderId="0" xfId="2" applyNumberFormat="1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34" fillId="0" borderId="13" xfId="1" applyNumberFormat="1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horizontal="center" vertical="center"/>
    </xf>
    <xf numFmtId="164" fontId="9" fillId="0" borderId="13" xfId="1" applyNumberFormat="1" applyFont="1" applyFill="1" applyBorder="1" applyAlignment="1">
      <alignment horizontal="right" vertical="center"/>
    </xf>
    <xf numFmtId="0" fontId="9" fillId="0" borderId="13" xfId="1" applyNumberFormat="1" applyFont="1" applyFill="1" applyBorder="1" applyAlignment="1">
      <alignment horizontal="center" vertical="center" wrapText="1"/>
    </xf>
    <xf numFmtId="4" fontId="9" fillId="0" borderId="4" xfId="2" applyNumberFormat="1" applyFont="1" applyBorder="1" applyAlignment="1">
      <alignment vertical="center"/>
    </xf>
    <xf numFmtId="0" fontId="17" fillId="0" borderId="13" xfId="1" applyNumberFormat="1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26" fillId="0" borderId="25" xfId="2" applyFont="1" applyBorder="1" applyAlignment="1">
      <alignment horizontal="left" vertical="center"/>
    </xf>
    <xf numFmtId="0" fontId="26" fillId="0" borderId="33" xfId="2" applyFont="1" applyBorder="1" applyAlignment="1">
      <alignment horizontal="left" vertical="center"/>
    </xf>
    <xf numFmtId="0" fontId="26" fillId="0" borderId="34" xfId="2" applyFont="1" applyBorder="1" applyAlignment="1">
      <alignment horizontal="left" vertical="center"/>
    </xf>
    <xf numFmtId="0" fontId="24" fillId="0" borderId="35" xfId="3" applyFont="1" applyBorder="1" applyAlignment="1">
      <alignment horizontal="center" vertical="center" wrapText="1"/>
    </xf>
    <xf numFmtId="0" fontId="24" fillId="0" borderId="14" xfId="3" applyFont="1" applyBorder="1" applyAlignment="1">
      <alignment horizontal="center" vertical="center" wrapText="1"/>
    </xf>
    <xf numFmtId="0" fontId="24" fillId="0" borderId="35" xfId="2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4" fillId="0" borderId="14" xfId="2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1" fillId="0" borderId="32" xfId="0" applyFont="1" applyBorder="1" applyAlignment="1">
      <alignment horizontal="center" vertical="top" wrapText="1"/>
    </xf>
    <xf numFmtId="0" fontId="24" fillId="0" borderId="36" xfId="2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4" fillId="0" borderId="35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38" xfId="3" applyFont="1" applyBorder="1" applyAlignment="1">
      <alignment horizontal="center"/>
    </xf>
    <xf numFmtId="0" fontId="24" fillId="0" borderId="39" xfId="3" applyFont="1" applyBorder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2" applyFont="1" applyAlignment="1">
      <alignment horizontal="center" vertical="center"/>
    </xf>
    <xf numFmtId="8" fontId="31" fillId="0" borderId="0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4" fontId="9" fillId="0" borderId="25" xfId="2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" fontId="9" fillId="0" borderId="20" xfId="2" applyNumberFormat="1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8" fontId="31" fillId="0" borderId="0" xfId="0" applyNumberFormat="1" applyFont="1" applyFill="1" applyBorder="1" applyAlignment="1">
      <alignment horizontal="center" vertical="top" wrapText="1"/>
    </xf>
    <xf numFmtId="0" fontId="24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/>
    </xf>
    <xf numFmtId="0" fontId="26" fillId="0" borderId="0" xfId="2" applyFont="1" applyFill="1" applyBorder="1" applyAlignment="1">
      <alignment horizontal="left" vertical="center"/>
    </xf>
    <xf numFmtId="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" fontId="9" fillId="0" borderId="0" xfId="2" applyNumberFormat="1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0" borderId="51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_NEOPRoMEL" xfId="1"/>
    <cellStyle name="Βασικό_ΚΟ 4" xfId="2"/>
    <cellStyle name="Βασικό_ΛΟΓΑΡΙΑΣΜΟΙ Δ.ΑΘΗΝΑΣ" xfId="3"/>
    <cellStyle name="Κανονικό" xfId="0" builtinId="0"/>
    <cellStyle name="Ποσοστό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5845" name="Line 6"/>
        <xdr:cNvSpPr>
          <a:spLocks noChangeShapeType="1"/>
        </xdr:cNvSpPr>
      </xdr:nvSpPr>
      <xdr:spPr bwMode="auto">
        <a:xfrm>
          <a:off x="142875" y="1792605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59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5846" name="Line 6"/>
        <xdr:cNvSpPr>
          <a:spLocks noChangeShapeType="1"/>
        </xdr:cNvSpPr>
      </xdr:nvSpPr>
      <xdr:spPr bwMode="auto">
        <a:xfrm>
          <a:off x="3829050" y="1792605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2</xdr:col>
      <xdr:colOff>0</xdr:colOff>
      <xdr:row>61</xdr:row>
      <xdr:rowOff>0</xdr:rowOff>
    </xdr:to>
    <xdr:sp macro="" textlink="">
      <xdr:nvSpPr>
        <xdr:cNvPr id="15523" name="Line 6"/>
        <xdr:cNvSpPr>
          <a:spLocks noChangeShapeType="1"/>
        </xdr:cNvSpPr>
      </xdr:nvSpPr>
      <xdr:spPr bwMode="auto">
        <a:xfrm>
          <a:off x="142875" y="1939290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15524" name="Line 6"/>
        <xdr:cNvSpPr>
          <a:spLocks noChangeShapeType="1"/>
        </xdr:cNvSpPr>
      </xdr:nvSpPr>
      <xdr:spPr bwMode="auto">
        <a:xfrm>
          <a:off x="3829050" y="193929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2;&#917;&#935;&#925;.%20&#917;&#929;&#915;&#913;/&#932;&#917;&#935;&#925;.%20&#917;&#929;&#915;&#913;/&#917;&#925;&#932;&#933;&#928;&#913;%20%20&#923;&#927;&#915;&#913;&#929;&#921;&#913;&#931;&#924;&#937;&#9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2;&#945;%20&#941;&#947;&#947;&#961;&#945;&#966;&#940;%20&#956;&#959;&#965;/&#922;&#927;%204/&#932;&#917;&#935;&#925;&#921;&#922;&#913;%20&#917;&#929;&#915;&#913;/&#917;&#925;&#932;&#933;&#928;&#913;%20%20&#923;&#927;&#915;&#913;&#929;&#921;&#913;&#931;&#924;&#937;&#9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2;&#945;%20&#941;&#947;&#947;&#961;&#945;&#966;&#940;%20&#956;&#959;&#965;/&#932;&#917;&#935;&#925;&#921;&#922;&#913;%20&#917;&#929;&#915;&#913;/&#916;&#921;&#913;&#928;&#923;&#913;&#932;&#933;&#925;&#931;&#919;%20%20&#923;&#917;&#937;&#934;&#927;&#929;&#927;&#933;%20%20&#914;&#913;&#929;&#919;&#931;/&#932;&#917;&#935;&#925;.%20&#917;&#929;&#915;&#913;/&#932;&#917;&#935;&#925;.%20&#917;&#929;&#915;&#913;/&#917;&#925;&#932;&#933;&#928;&#913;%20%20&#923;&#927;&#915;&#913;&#929;&#921;&#913;&#931;&#924;&#937;&#9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workbookViewId="0">
      <selection activeCell="D87" sqref="D87"/>
    </sheetView>
  </sheetViews>
  <sheetFormatPr defaultRowHeight="12.75" x14ac:dyDescent="0.2"/>
  <cols>
    <col min="1" max="1" width="2.140625" style="2" customWidth="1"/>
    <col min="2" max="2" width="5.28515625" style="2" customWidth="1"/>
    <col min="3" max="3" width="50" style="2" customWidth="1"/>
    <col min="4" max="4" width="5.28515625" style="2" customWidth="1"/>
    <col min="5" max="5" width="12.85546875" style="2" customWidth="1"/>
    <col min="6" max="6" width="15.85546875" style="2" customWidth="1"/>
    <col min="7" max="7" width="9.7109375" style="2" customWidth="1"/>
    <col min="8" max="8" width="13.7109375" style="2" hidden="1" customWidth="1"/>
    <col min="9" max="9" width="13.7109375" style="2" customWidth="1"/>
    <col min="10" max="10" width="10.140625" style="2" customWidth="1"/>
    <col min="11" max="11" width="11.5703125" style="2" customWidth="1"/>
    <col min="12" max="12" width="17.85546875" style="2" customWidth="1"/>
    <col min="13" max="13" width="0.28515625" style="2" hidden="1" customWidth="1"/>
    <col min="14" max="15" width="10.140625" style="2" bestFit="1" customWidth="1"/>
    <col min="16" max="17" width="9.140625" style="2"/>
    <col min="18" max="16384" width="9.140625" style="1"/>
  </cols>
  <sheetData>
    <row r="1" spans="1:17" ht="19.5" customHeight="1" x14ac:dyDescent="0.25">
      <c r="C1" s="174" t="s">
        <v>40</v>
      </c>
      <c r="J1" s="173" t="s">
        <v>42</v>
      </c>
      <c r="K1" s="259" t="s">
        <v>257</v>
      </c>
      <c r="L1" s="259"/>
    </row>
    <row r="2" spans="1:17" ht="24" customHeight="1" x14ac:dyDescent="0.25">
      <c r="C2" s="174" t="s">
        <v>41</v>
      </c>
      <c r="K2" s="259"/>
      <c r="L2" s="259"/>
    </row>
    <row r="3" spans="1:17" ht="49.5" customHeight="1" x14ac:dyDescent="0.25">
      <c r="C3" s="175" t="s">
        <v>291</v>
      </c>
      <c r="K3" s="259"/>
      <c r="L3" s="259"/>
    </row>
    <row r="4" spans="1:17" ht="18.75" customHeight="1" x14ac:dyDescent="0.25">
      <c r="C4" s="174" t="s">
        <v>288</v>
      </c>
      <c r="K4" s="259"/>
      <c r="L4" s="259"/>
    </row>
    <row r="5" spans="1:17" ht="18.75" customHeight="1" x14ac:dyDescent="0.25">
      <c r="C5" s="174" t="s">
        <v>289</v>
      </c>
      <c r="K5" s="5"/>
      <c r="L5" s="10"/>
    </row>
    <row r="6" spans="1:17" s="177" customFormat="1" ht="22.5" customHeight="1" x14ac:dyDescent="0.2">
      <c r="C6" s="9" t="s">
        <v>292</v>
      </c>
      <c r="K6" s="176"/>
      <c r="L6" s="176"/>
    </row>
    <row r="7" spans="1:17" s="177" customFormat="1" ht="18.75" customHeight="1" x14ac:dyDescent="0.2"/>
    <row r="8" spans="1:17" s="178" customFormat="1" ht="18.75" customHeight="1" x14ac:dyDescent="0.2">
      <c r="G8" s="261" t="s">
        <v>43</v>
      </c>
      <c r="H8" s="261"/>
      <c r="I8" s="261"/>
      <c r="J8" s="261" t="s">
        <v>164</v>
      </c>
      <c r="K8" s="261"/>
      <c r="L8" s="261"/>
    </row>
    <row r="9" spans="1:17" s="178" customFormat="1" ht="21.75" customHeight="1" x14ac:dyDescent="0.2">
      <c r="G9" s="262" t="s">
        <v>44</v>
      </c>
      <c r="H9" s="262"/>
      <c r="I9" s="262"/>
      <c r="J9" s="262"/>
      <c r="K9" s="262"/>
      <c r="L9" s="262"/>
    </row>
    <row r="10" spans="1:17" s="178" customFormat="1" ht="22.5" customHeight="1" thickBot="1" x14ac:dyDescent="0.25">
      <c r="G10" s="263" t="s">
        <v>45</v>
      </c>
      <c r="H10" s="263"/>
      <c r="I10" s="263"/>
      <c r="J10" s="274">
        <f>L78</f>
        <v>530000</v>
      </c>
      <c r="K10" s="275"/>
      <c r="L10" s="275"/>
    </row>
    <row r="11" spans="1:17" s="86" customFormat="1" ht="20.25" customHeight="1" x14ac:dyDescent="0.25">
      <c r="A11" s="85"/>
      <c r="B11" s="264" t="s">
        <v>134</v>
      </c>
      <c r="C11" s="257" t="s">
        <v>37</v>
      </c>
      <c r="D11" s="257" t="s">
        <v>68</v>
      </c>
      <c r="E11" s="257" t="s">
        <v>135</v>
      </c>
      <c r="F11" s="257" t="s">
        <v>98</v>
      </c>
      <c r="G11" s="266" t="s">
        <v>0</v>
      </c>
      <c r="H11" s="255" t="s">
        <v>254</v>
      </c>
      <c r="I11" s="255" t="s">
        <v>1</v>
      </c>
      <c r="J11" s="255" t="s">
        <v>2</v>
      </c>
      <c r="K11" s="268" t="s">
        <v>46</v>
      </c>
      <c r="L11" s="269"/>
      <c r="M11" s="85"/>
      <c r="N11" s="85"/>
      <c r="O11" s="85"/>
      <c r="P11" s="85"/>
      <c r="Q11" s="85"/>
    </row>
    <row r="12" spans="1:17" s="86" customFormat="1" ht="30.75" thickBot="1" x14ac:dyDescent="0.25">
      <c r="A12" s="85"/>
      <c r="B12" s="265"/>
      <c r="C12" s="260"/>
      <c r="D12" s="258"/>
      <c r="E12" s="260"/>
      <c r="F12" s="260"/>
      <c r="G12" s="267"/>
      <c r="H12" s="256"/>
      <c r="I12" s="256"/>
      <c r="J12" s="256"/>
      <c r="K12" s="87" t="s">
        <v>38</v>
      </c>
      <c r="L12" s="88" t="s">
        <v>39</v>
      </c>
      <c r="M12" s="85"/>
      <c r="N12" s="85"/>
      <c r="O12" s="85"/>
      <c r="P12" s="85"/>
      <c r="Q12" s="85"/>
    </row>
    <row r="13" spans="1:17" s="86" customFormat="1" ht="15" x14ac:dyDescent="0.2">
      <c r="A13" s="89"/>
      <c r="B13" s="90"/>
      <c r="C13" s="91" t="s">
        <v>19</v>
      </c>
      <c r="D13" s="92"/>
      <c r="E13" s="93"/>
      <c r="F13" s="93"/>
      <c r="G13" s="94"/>
      <c r="H13" s="95"/>
      <c r="I13" s="95"/>
      <c r="J13" s="95"/>
      <c r="K13" s="95"/>
      <c r="L13" s="96"/>
      <c r="M13" s="85"/>
      <c r="N13" s="89"/>
      <c r="O13" s="85"/>
      <c r="P13" s="85"/>
      <c r="Q13" s="85"/>
    </row>
    <row r="14" spans="1:17" s="86" customFormat="1" ht="15" x14ac:dyDescent="0.2">
      <c r="A14" s="89"/>
      <c r="B14" s="97"/>
      <c r="C14" s="252" t="s">
        <v>258</v>
      </c>
      <c r="D14" s="253"/>
      <c r="E14" s="253"/>
      <c r="F14" s="253"/>
      <c r="G14" s="253"/>
      <c r="H14" s="253"/>
      <c r="I14" s="253"/>
      <c r="J14" s="253"/>
      <c r="K14" s="253"/>
      <c r="L14" s="254"/>
      <c r="M14" s="85"/>
      <c r="N14" s="89"/>
      <c r="O14" s="85"/>
      <c r="P14" s="85"/>
      <c r="Q14" s="85"/>
    </row>
    <row r="15" spans="1:17" ht="28.5" customHeight="1" x14ac:dyDescent="0.2">
      <c r="A15" s="4"/>
      <c r="B15" s="98">
        <v>1</v>
      </c>
      <c r="C15" s="17" t="s">
        <v>67</v>
      </c>
      <c r="D15" s="99">
        <v>1</v>
      </c>
      <c r="E15" s="32" t="s">
        <v>73</v>
      </c>
      <c r="F15" s="32" t="s">
        <v>99</v>
      </c>
      <c r="G15" s="63" t="s">
        <v>132</v>
      </c>
      <c r="H15" s="100">
        <v>24</v>
      </c>
      <c r="I15" s="100">
        <f>H15</f>
        <v>24</v>
      </c>
      <c r="J15" s="101">
        <v>8.1999999999999993</v>
      </c>
      <c r="K15" s="101">
        <f>I15*J15</f>
        <v>196.8</v>
      </c>
      <c r="L15" s="102"/>
      <c r="N15" s="4"/>
    </row>
    <row r="16" spans="1:17" ht="24.75" customHeight="1" x14ac:dyDescent="0.2">
      <c r="B16" s="98">
        <v>2</v>
      </c>
      <c r="C16" s="17" t="s">
        <v>23</v>
      </c>
      <c r="D16" s="99">
        <v>2</v>
      </c>
      <c r="E16" s="32" t="s">
        <v>136</v>
      </c>
      <c r="F16" s="181" t="s">
        <v>100</v>
      </c>
      <c r="G16" s="63" t="s">
        <v>132</v>
      </c>
      <c r="H16" s="100">
        <v>24</v>
      </c>
      <c r="I16" s="100">
        <f>H16</f>
        <v>24</v>
      </c>
      <c r="J16" s="101">
        <v>5.2</v>
      </c>
      <c r="K16" s="101">
        <f t="shared" ref="K16:K34" si="0">I16*J16</f>
        <v>124.8</v>
      </c>
      <c r="L16" s="103"/>
    </row>
    <row r="17" spans="1:17" ht="39.75" customHeight="1" x14ac:dyDescent="0.2">
      <c r="B17" s="98">
        <v>3</v>
      </c>
      <c r="C17" s="17" t="s">
        <v>17</v>
      </c>
      <c r="D17" s="99">
        <v>3</v>
      </c>
      <c r="E17" s="32" t="s">
        <v>74</v>
      </c>
      <c r="F17" s="32" t="s">
        <v>100</v>
      </c>
      <c r="G17" s="63" t="s">
        <v>133</v>
      </c>
      <c r="H17" s="100">
        <v>24</v>
      </c>
      <c r="I17" s="100">
        <f>H17</f>
        <v>24</v>
      </c>
      <c r="J17" s="101">
        <v>10.3</v>
      </c>
      <c r="K17" s="101">
        <f t="shared" si="0"/>
        <v>247.2</v>
      </c>
      <c r="L17" s="103"/>
    </row>
    <row r="18" spans="1:17" ht="25.5" customHeight="1" x14ac:dyDescent="0.2">
      <c r="B18" s="98">
        <v>4</v>
      </c>
      <c r="C18" s="104" t="s">
        <v>18</v>
      </c>
      <c r="D18" s="99">
        <v>4</v>
      </c>
      <c r="E18" s="32" t="s">
        <v>137</v>
      </c>
      <c r="F18" s="30" t="s">
        <v>99</v>
      </c>
      <c r="G18" s="63" t="s">
        <v>133</v>
      </c>
      <c r="H18" s="105">
        <v>2</v>
      </c>
      <c r="I18" s="100">
        <f>H18</f>
        <v>2</v>
      </c>
      <c r="J18" s="106">
        <v>410</v>
      </c>
      <c r="K18" s="101">
        <f t="shared" si="0"/>
        <v>820</v>
      </c>
      <c r="L18" s="103"/>
    </row>
    <row r="19" spans="1:17" ht="51.75" customHeight="1" x14ac:dyDescent="0.2">
      <c r="B19" s="98">
        <v>5</v>
      </c>
      <c r="C19" s="17" t="s">
        <v>24</v>
      </c>
      <c r="D19" s="99">
        <v>5</v>
      </c>
      <c r="E19" s="63" t="s">
        <v>75</v>
      </c>
      <c r="F19" s="18" t="s">
        <v>101</v>
      </c>
      <c r="G19" s="107" t="s">
        <v>233</v>
      </c>
      <c r="H19" s="100">
        <f>'κοστολογηση Ε2 Ε3'!G5*4+'κοστολογηση Ε2 Ε3'!I5*8+'κοστολογηση Α2 Α3 '!G5*26+'ΚΟΣΤΟΛΟΓΗΓΗ ΑΓΩΓΟΥ Φ800'!G7*'προμετρηση αγωγων'!D18+'ΚΟΣΤΟΛΟΓΗΓΗ ΑΓΩΓΟΥ Φ1000 '!G7*'προμετρηση αγωγων'!E18</f>
        <v>3051</v>
      </c>
      <c r="I19" s="100">
        <f>MROUND(H19,100)</f>
        <v>3100</v>
      </c>
      <c r="J19" s="108">
        <v>6.7</v>
      </c>
      <c r="K19" s="101">
        <f t="shared" si="0"/>
        <v>20770</v>
      </c>
      <c r="L19" s="109"/>
    </row>
    <row r="20" spans="1:17" ht="45.75" customHeight="1" x14ac:dyDescent="0.2">
      <c r="B20" s="98">
        <v>6</v>
      </c>
      <c r="C20" s="110" t="s">
        <v>25</v>
      </c>
      <c r="D20" s="99">
        <v>6</v>
      </c>
      <c r="E20" s="63" t="s">
        <v>139</v>
      </c>
      <c r="F20" s="63" t="s">
        <v>102</v>
      </c>
      <c r="G20" s="107" t="s">
        <v>233</v>
      </c>
      <c r="H20" s="100">
        <v>400</v>
      </c>
      <c r="I20" s="100">
        <f>H20</f>
        <v>400</v>
      </c>
      <c r="J20" s="108">
        <v>25.8</v>
      </c>
      <c r="K20" s="101">
        <f t="shared" si="0"/>
        <v>10320</v>
      </c>
      <c r="L20" s="109"/>
    </row>
    <row r="21" spans="1:17" ht="40.5" customHeight="1" x14ac:dyDescent="0.2">
      <c r="B21" s="98">
        <v>7</v>
      </c>
      <c r="C21" s="17" t="s">
        <v>26</v>
      </c>
      <c r="D21" s="99">
        <v>7</v>
      </c>
      <c r="E21" s="63" t="s">
        <v>76</v>
      </c>
      <c r="F21" s="63" t="s">
        <v>103</v>
      </c>
      <c r="G21" s="107" t="s">
        <v>11</v>
      </c>
      <c r="H21" s="101">
        <v>300</v>
      </c>
      <c r="I21" s="101">
        <f>H21</f>
        <v>300</v>
      </c>
      <c r="J21" s="111">
        <v>15.5</v>
      </c>
      <c r="K21" s="101">
        <f t="shared" si="0"/>
        <v>4650</v>
      </c>
      <c r="L21" s="112"/>
    </row>
    <row r="22" spans="1:17" ht="39" customHeight="1" x14ac:dyDescent="0.2">
      <c r="B22" s="98">
        <v>8</v>
      </c>
      <c r="C22" s="17" t="s">
        <v>27</v>
      </c>
      <c r="D22" s="99">
        <v>8</v>
      </c>
      <c r="E22" s="63" t="s">
        <v>77</v>
      </c>
      <c r="F22" s="63" t="s">
        <v>104</v>
      </c>
      <c r="G22" s="107" t="s">
        <v>233</v>
      </c>
      <c r="H22" s="101">
        <f>'κοστολογηση Ε2 Ε3'!G7*4+'κοστολογηση Ε2 Ε3'!I7*8+'κοστολογηση Α2 Α3 '!G7*26+'ΚΟΣΤΟΛΟΓΗΓΗ ΑΓΩΓΟΥ Φ800'!G9*'προμετρηση αγωγων'!D18+'ΚΟΣΤΟΛΟΓΗΓΗ ΑΓΩΓΟΥ Φ1000 '!G9*'προμετρηση αγωγων'!E18</f>
        <v>1963.22</v>
      </c>
      <c r="I22" s="101">
        <f>MROUND(H22,100)</f>
        <v>2000</v>
      </c>
      <c r="J22" s="111">
        <v>7.36</v>
      </c>
      <c r="K22" s="101">
        <f t="shared" si="0"/>
        <v>14720</v>
      </c>
      <c r="L22" s="112"/>
    </row>
    <row r="23" spans="1:17" ht="36.75" customHeight="1" x14ac:dyDescent="0.2">
      <c r="B23" s="98">
        <v>9</v>
      </c>
      <c r="C23" s="17" t="s">
        <v>28</v>
      </c>
      <c r="D23" s="99">
        <v>9</v>
      </c>
      <c r="E23" s="63" t="s">
        <v>78</v>
      </c>
      <c r="F23" s="63" t="s">
        <v>105</v>
      </c>
      <c r="G23" s="107" t="s">
        <v>233</v>
      </c>
      <c r="H23" s="101">
        <f>'κοστολογηση Ε2 Ε3'!G8*4+'κοστολογηση Ε2 Ε3'!I8*8+'κοστολογηση Α2 Α3 '!G8*26</f>
        <v>52.34</v>
      </c>
      <c r="I23" s="101">
        <f>MROUND(H23,10)</f>
        <v>50</v>
      </c>
      <c r="J23" s="111">
        <v>7.41</v>
      </c>
      <c r="K23" s="101">
        <f t="shared" si="0"/>
        <v>370.5</v>
      </c>
      <c r="L23" s="112"/>
    </row>
    <row r="24" spans="1:17" s="12" customFormat="1" ht="24.75" customHeight="1" x14ac:dyDescent="0.2">
      <c r="A24" s="11"/>
      <c r="B24" s="98">
        <v>10</v>
      </c>
      <c r="C24" s="62" t="s">
        <v>159</v>
      </c>
      <c r="D24" s="99">
        <v>10</v>
      </c>
      <c r="E24" s="63" t="s">
        <v>79</v>
      </c>
      <c r="F24" s="63" t="s">
        <v>106</v>
      </c>
      <c r="G24" s="113" t="s">
        <v>255</v>
      </c>
      <c r="H24" s="101">
        <f>'κοστολογηση Ε2 Ε3'!G6*4+'κοστολογηση Ε2 Ε3'!I6*8+'κοστολογηση Α2 Α3 '!G6*26+'ΚΟΣΤΟΛΟΓΗΓΗ ΑΓΩΓΟΥ Φ800'!G8*'προμετρηση αγωγων'!D18+'ΚΟΣΤΟΛΟΓΗΓΗ ΑΓΩΓΟΥ Φ1000 '!G8*'προμετρηση αγωγων'!E18</f>
        <v>1035.44</v>
      </c>
      <c r="I24" s="101">
        <f>MROUND(H24,10)</f>
        <v>1040</v>
      </c>
      <c r="J24" s="114">
        <v>1.55</v>
      </c>
      <c r="K24" s="101">
        <f t="shared" si="0"/>
        <v>1612</v>
      </c>
      <c r="L24" s="115"/>
      <c r="M24" s="11"/>
      <c r="N24" s="11"/>
      <c r="O24" s="11"/>
      <c r="P24" s="11"/>
      <c r="Q24" s="11"/>
    </row>
    <row r="25" spans="1:17" ht="25.5" customHeight="1" x14ac:dyDescent="0.2">
      <c r="B25" s="98">
        <v>11</v>
      </c>
      <c r="C25" s="17" t="s">
        <v>160</v>
      </c>
      <c r="D25" s="99">
        <v>11</v>
      </c>
      <c r="E25" s="63" t="s">
        <v>161</v>
      </c>
      <c r="F25" s="63" t="s">
        <v>107</v>
      </c>
      <c r="G25" s="107" t="s">
        <v>233</v>
      </c>
      <c r="H25" s="101">
        <f>'ΚΟΣΤΟΛΟΓΗΓΗ ΑΓΩΓΟΥ Φ800'!G10*'προμετρηση αγωγων'!D18+'ΚΟΣΤΟΛΟΓΗΓΗ ΑΓΩΓΟΥ Φ1000 '!G10*'προμετρηση αγωγων'!E18</f>
        <v>777.88</v>
      </c>
      <c r="I25" s="101">
        <f>MROUND(H25,1000)</f>
        <v>1000</v>
      </c>
      <c r="J25" s="111">
        <v>18.399999999999999</v>
      </c>
      <c r="K25" s="101">
        <f t="shared" si="0"/>
        <v>18400</v>
      </c>
      <c r="L25" s="112"/>
    </row>
    <row r="26" spans="1:17" ht="20.25" customHeight="1" x14ac:dyDescent="0.2">
      <c r="B26" s="98">
        <v>12</v>
      </c>
      <c r="C26" s="17" t="s">
        <v>14</v>
      </c>
      <c r="D26" s="99">
        <v>12</v>
      </c>
      <c r="E26" s="63" t="s">
        <v>138</v>
      </c>
      <c r="F26" s="30" t="s">
        <v>102</v>
      </c>
      <c r="G26" s="107" t="s">
        <v>15</v>
      </c>
      <c r="H26" s="101">
        <v>20</v>
      </c>
      <c r="I26" s="101">
        <f>H26</f>
        <v>20</v>
      </c>
      <c r="J26" s="111">
        <v>26.6</v>
      </c>
      <c r="K26" s="101">
        <f t="shared" si="0"/>
        <v>532</v>
      </c>
      <c r="L26" s="112"/>
    </row>
    <row r="27" spans="1:17" ht="25.5" customHeight="1" x14ac:dyDescent="0.2">
      <c r="B27" s="98">
        <v>13</v>
      </c>
      <c r="C27" s="17" t="s">
        <v>29</v>
      </c>
      <c r="D27" s="99">
        <v>13</v>
      </c>
      <c r="E27" s="63" t="s">
        <v>80</v>
      </c>
      <c r="F27" s="63" t="s">
        <v>102</v>
      </c>
      <c r="G27" s="107" t="s">
        <v>15</v>
      </c>
      <c r="H27" s="101">
        <v>50</v>
      </c>
      <c r="I27" s="101">
        <f>H27</f>
        <v>50</v>
      </c>
      <c r="J27" s="111">
        <f>41.2+7</f>
        <v>48.2</v>
      </c>
      <c r="K27" s="101">
        <f t="shared" si="0"/>
        <v>2410</v>
      </c>
      <c r="L27" s="112"/>
    </row>
    <row r="28" spans="1:17" ht="14.25" customHeight="1" x14ac:dyDescent="0.2">
      <c r="B28" s="98">
        <v>14</v>
      </c>
      <c r="C28" s="17" t="s">
        <v>8</v>
      </c>
      <c r="D28" s="99">
        <v>14</v>
      </c>
      <c r="E28" s="63" t="s">
        <v>81</v>
      </c>
      <c r="F28" s="18" t="s">
        <v>108</v>
      </c>
      <c r="G28" s="107" t="s">
        <v>256</v>
      </c>
      <c r="H28" s="101">
        <f>'κοστολογηση Ε2 Ε3'!G19*4+'κοστολογηση Ε2 Ε3'!I19*8+'κοστολογηση Α2 Α3 '!G17*26+'ΚΟΣΤΟΛΟΓΗΓΗ ΑΓΩΓΟΥ Φ800'!G15*'προμετρηση αγωγων'!D18+'ΚΟΣΤΟΛΟΓΗΓΗ ΑΓΩΓΟΥ Φ1000 '!G15*'προμετρηση αγωγων'!E18</f>
        <v>875.4</v>
      </c>
      <c r="I28" s="101">
        <v>900</v>
      </c>
      <c r="J28" s="111">
        <v>18.5</v>
      </c>
      <c r="K28" s="101">
        <f t="shared" si="0"/>
        <v>16650</v>
      </c>
      <c r="L28" s="112"/>
    </row>
    <row r="29" spans="1:17" ht="25.5" hidden="1" customHeight="1" x14ac:dyDescent="0.2">
      <c r="B29" s="98"/>
      <c r="C29" s="250" t="s">
        <v>271</v>
      </c>
      <c r="D29" s="99"/>
      <c r="E29" s="246" t="s">
        <v>273</v>
      </c>
      <c r="F29" s="245" t="s">
        <v>272</v>
      </c>
      <c r="G29" s="107" t="s">
        <v>256</v>
      </c>
      <c r="H29" s="101">
        <f>2382</f>
        <v>2382</v>
      </c>
      <c r="I29" s="101">
        <v>0</v>
      </c>
      <c r="J29" s="247">
        <v>3.4</v>
      </c>
      <c r="K29" s="101">
        <f t="shared" si="0"/>
        <v>0</v>
      </c>
      <c r="L29" s="112"/>
    </row>
    <row r="30" spans="1:17" ht="14.25" hidden="1" customHeight="1" x14ac:dyDescent="0.2">
      <c r="B30" s="98"/>
      <c r="C30" s="250" t="s">
        <v>270</v>
      </c>
      <c r="D30" s="99"/>
      <c r="E30" s="248" t="s">
        <v>275</v>
      </c>
      <c r="F30" s="248" t="s">
        <v>274</v>
      </c>
      <c r="G30" s="107" t="s">
        <v>256</v>
      </c>
      <c r="H30" s="101">
        <f>2382</f>
        <v>2382</v>
      </c>
      <c r="I30" s="101">
        <v>0</v>
      </c>
      <c r="J30" s="183">
        <v>9.73</v>
      </c>
      <c r="K30" s="101">
        <f t="shared" si="0"/>
        <v>0</v>
      </c>
      <c r="L30" s="249"/>
    </row>
    <row r="31" spans="1:17" ht="16.5" customHeight="1" x14ac:dyDescent="0.2">
      <c r="B31" s="98">
        <v>15</v>
      </c>
      <c r="C31" s="17" t="s">
        <v>48</v>
      </c>
      <c r="D31" s="99">
        <v>15</v>
      </c>
      <c r="E31" s="63" t="s">
        <v>82</v>
      </c>
      <c r="F31" s="63" t="s">
        <v>109</v>
      </c>
      <c r="G31" s="107" t="s">
        <v>11</v>
      </c>
      <c r="H31" s="101">
        <f>26*2.6</f>
        <v>67.599999999999994</v>
      </c>
      <c r="I31" s="101">
        <f>MROUND(H31,10)</f>
        <v>70</v>
      </c>
      <c r="J31" s="111">
        <v>9.3000000000000007</v>
      </c>
      <c r="K31" s="101">
        <f t="shared" si="0"/>
        <v>651</v>
      </c>
      <c r="L31" s="112"/>
    </row>
    <row r="32" spans="1:17" ht="15.75" customHeight="1" x14ac:dyDescent="0.2">
      <c r="B32" s="98">
        <v>16</v>
      </c>
      <c r="C32" s="17" t="s">
        <v>49</v>
      </c>
      <c r="D32" s="99">
        <v>16</v>
      </c>
      <c r="E32" s="63" t="s">
        <v>61</v>
      </c>
      <c r="F32" s="63" t="s">
        <v>110</v>
      </c>
      <c r="G32" s="107" t="s">
        <v>11</v>
      </c>
      <c r="H32" s="101">
        <f>H31</f>
        <v>67.599999999999994</v>
      </c>
      <c r="I32" s="101">
        <f>MROUND(H32,10)</f>
        <v>70</v>
      </c>
      <c r="J32" s="111">
        <v>9.6</v>
      </c>
      <c r="K32" s="101">
        <f t="shared" si="0"/>
        <v>672</v>
      </c>
      <c r="L32" s="112"/>
    </row>
    <row r="33" spans="1:12" ht="18" customHeight="1" x14ac:dyDescent="0.2">
      <c r="B33" s="98">
        <v>17</v>
      </c>
      <c r="C33" s="17" t="s">
        <v>30</v>
      </c>
      <c r="D33" s="99">
        <v>17</v>
      </c>
      <c r="E33" s="63" t="s">
        <v>83</v>
      </c>
      <c r="F33" s="63" t="s">
        <v>111</v>
      </c>
      <c r="G33" s="107" t="s">
        <v>256</v>
      </c>
      <c r="H33" s="101">
        <f>26*2.6*0.4</f>
        <v>27.04</v>
      </c>
      <c r="I33" s="101">
        <f>MROUND(H33,10)</f>
        <v>30</v>
      </c>
      <c r="J33" s="111">
        <v>18.399999999999999</v>
      </c>
      <c r="K33" s="101">
        <f t="shared" si="0"/>
        <v>552</v>
      </c>
      <c r="L33" s="112"/>
    </row>
    <row r="34" spans="1:12" ht="13.5" customHeight="1" x14ac:dyDescent="0.2">
      <c r="B34" s="98">
        <v>18</v>
      </c>
      <c r="C34" s="17" t="s">
        <v>50</v>
      </c>
      <c r="D34" s="99">
        <v>18</v>
      </c>
      <c r="E34" s="63" t="s">
        <v>84</v>
      </c>
      <c r="F34" s="63" t="s">
        <v>112</v>
      </c>
      <c r="G34" s="107" t="s">
        <v>256</v>
      </c>
      <c r="H34" s="101">
        <f>H33</f>
        <v>27.04</v>
      </c>
      <c r="I34" s="101">
        <f>MROUND(H34,10)</f>
        <v>30</v>
      </c>
      <c r="J34" s="111">
        <v>25.8</v>
      </c>
      <c r="K34" s="101">
        <f t="shared" si="0"/>
        <v>774</v>
      </c>
      <c r="L34" s="112"/>
    </row>
    <row r="35" spans="1:12" ht="15.75" customHeight="1" x14ac:dyDescent="0.2">
      <c r="B35" s="116"/>
      <c r="C35" s="17"/>
      <c r="D35" s="117"/>
      <c r="E35" s="63"/>
      <c r="F35" s="63"/>
      <c r="G35" s="107"/>
      <c r="H35" s="101"/>
      <c r="I35" s="101"/>
      <c r="J35" s="111"/>
      <c r="K35" s="118" t="s">
        <v>20</v>
      </c>
      <c r="L35" s="119">
        <f>SUM(K15:K34)</f>
        <v>94472.3</v>
      </c>
    </row>
    <row r="36" spans="1:12" ht="17.25" customHeight="1" thickBot="1" x14ac:dyDescent="0.25">
      <c r="B36" s="120"/>
      <c r="C36" s="121"/>
      <c r="D36" s="122"/>
      <c r="E36" s="123"/>
      <c r="F36" s="123"/>
      <c r="G36" s="124"/>
      <c r="H36" s="125"/>
      <c r="I36" s="125"/>
      <c r="J36" s="126"/>
      <c r="K36" s="127"/>
      <c r="L36" s="128"/>
    </row>
    <row r="37" spans="1:12" ht="17.25" customHeight="1" x14ac:dyDescent="0.2">
      <c r="B37" s="129"/>
      <c r="C37" s="179" t="s">
        <v>21</v>
      </c>
      <c r="D37" s="130"/>
      <c r="E37" s="26"/>
      <c r="F37" s="26"/>
      <c r="G37" s="131"/>
      <c r="H37" s="132"/>
      <c r="I37" s="132"/>
      <c r="J37" s="133"/>
      <c r="K37" s="134"/>
      <c r="L37" s="135"/>
    </row>
    <row r="38" spans="1:12" ht="18" customHeight="1" x14ac:dyDescent="0.2">
      <c r="B38" s="116"/>
      <c r="C38" s="252" t="s">
        <v>260</v>
      </c>
      <c r="D38" s="253"/>
      <c r="E38" s="253"/>
      <c r="F38" s="253"/>
      <c r="G38" s="253"/>
      <c r="H38" s="253"/>
      <c r="I38" s="253"/>
      <c r="J38" s="253"/>
      <c r="K38" s="253"/>
      <c r="L38" s="254"/>
    </row>
    <row r="39" spans="1:12" ht="16.5" customHeight="1" x14ac:dyDescent="0.2">
      <c r="B39" s="98">
        <v>19</v>
      </c>
      <c r="C39" s="17" t="s">
        <v>6</v>
      </c>
      <c r="D39" s="99">
        <v>19</v>
      </c>
      <c r="E39" s="63" t="s">
        <v>85</v>
      </c>
      <c r="F39" s="63" t="s">
        <v>113</v>
      </c>
      <c r="G39" s="107" t="s">
        <v>256</v>
      </c>
      <c r="H39" s="101">
        <f>'κοστολογηση Ε2 Ε3'!G25*4+'κοστολογηση Ε2 Ε3'!I25*8+('κοστολογηση Α2 Α3 '!H23+'κοστολογηση Α2 Α3 '!H24)*26</f>
        <v>3253.86</v>
      </c>
      <c r="I39" s="101">
        <f t="shared" ref="I39:I47" si="1">MROUND(H39,10)</f>
        <v>3250</v>
      </c>
      <c r="J39" s="111">
        <v>8.1999999999999993</v>
      </c>
      <c r="K39" s="101">
        <f t="shared" ref="K39:K47" si="2">I39*J39</f>
        <v>26650</v>
      </c>
      <c r="L39" s="112"/>
    </row>
    <row r="40" spans="1:12" ht="15" customHeight="1" x14ac:dyDescent="0.2">
      <c r="B40" s="98">
        <v>20</v>
      </c>
      <c r="C40" s="17" t="s">
        <v>10</v>
      </c>
      <c r="D40" s="99">
        <v>20</v>
      </c>
      <c r="E40" s="63" t="s">
        <v>86</v>
      </c>
      <c r="F40" s="63" t="s">
        <v>114</v>
      </c>
      <c r="G40" s="107" t="s">
        <v>256</v>
      </c>
      <c r="H40" s="101">
        <f>'κοστολογηση Ε2 Ε3'!G26*4+'κοστολογηση Ε2 Ε3'!I26*8+('κοστολογηση Ε2 Ε3'!I11+'κοστολογηση Ε2 Ε3'!I14)*8+('κοστολογηση Α2 Α3 '!G9+'κοστολογηση Α2 Α3 '!G12)*26+'ΚΟΣΤΟΛΟΓΗΓΗ ΑΓΩΓΟΥ Φ800'!G13*'προμετρηση αγωγων'!D18+'ΚΟΣΤΟΛΟΓΗΓΗ ΑΓΩΓΟΥ Φ1000 '!G13*'προμετρηση αγωγων'!E18</f>
        <v>773.52</v>
      </c>
      <c r="I40" s="101">
        <f t="shared" si="1"/>
        <v>770</v>
      </c>
      <c r="J40" s="111">
        <v>18.5</v>
      </c>
      <c r="K40" s="101">
        <f t="shared" si="2"/>
        <v>14245</v>
      </c>
      <c r="L40" s="112"/>
    </row>
    <row r="41" spans="1:12" ht="42" customHeight="1" x14ac:dyDescent="0.2">
      <c r="B41" s="98">
        <v>21</v>
      </c>
      <c r="C41" s="17" t="s">
        <v>165</v>
      </c>
      <c r="D41" s="99" t="s">
        <v>153</v>
      </c>
      <c r="E41" s="32" t="s">
        <v>87</v>
      </c>
      <c r="F41" s="32" t="s">
        <v>115</v>
      </c>
      <c r="G41" s="107" t="s">
        <v>233</v>
      </c>
      <c r="H41" s="101">
        <f>('κοστολογηση Ε2 Ε3'!G11+'κοστολογηση Ε2 Ε3'!G12)*4+('κοστολογηση Ε2 Ε3'!I11+'κοστολογηση Ε2 Ε3'!I14)*8+('κοστολογηση Α2 Α3 '!G9+'κοστολογηση Α2 Α3 '!G12)*26+'ΚΟΣΤΟΛΟΓΗΓΗ ΑΓΩΓΟΥ Φ800'!G13*'προμετρηση αγωγων'!D18+'ΚΟΣΤΟΛΟΓΗΓΗ ΑΓΩΓΟΥ Φ1000 '!G13*'προμετρηση αγωγων'!E18</f>
        <v>378.08</v>
      </c>
      <c r="I41" s="101">
        <f t="shared" si="1"/>
        <v>380</v>
      </c>
      <c r="J41" s="111">
        <v>77</v>
      </c>
      <c r="K41" s="101">
        <f t="shared" si="2"/>
        <v>29260</v>
      </c>
      <c r="L41" s="112"/>
    </row>
    <row r="42" spans="1:12" ht="40.5" customHeight="1" x14ac:dyDescent="0.2">
      <c r="B42" s="98">
        <v>22</v>
      </c>
      <c r="C42" s="17" t="s">
        <v>31</v>
      </c>
      <c r="D42" s="99" t="s">
        <v>154</v>
      </c>
      <c r="E42" s="32" t="s">
        <v>88</v>
      </c>
      <c r="F42" s="32" t="s">
        <v>116</v>
      </c>
      <c r="G42" s="107" t="s">
        <v>233</v>
      </c>
      <c r="H42" s="101">
        <v>10</v>
      </c>
      <c r="I42" s="101">
        <f t="shared" si="1"/>
        <v>10</v>
      </c>
      <c r="J42" s="136">
        <v>82</v>
      </c>
      <c r="K42" s="101">
        <f t="shared" si="2"/>
        <v>820</v>
      </c>
      <c r="L42" s="112"/>
    </row>
    <row r="43" spans="1:12" ht="37.5" customHeight="1" x14ac:dyDescent="0.2">
      <c r="B43" s="98">
        <v>23</v>
      </c>
      <c r="C43" s="17" t="s">
        <v>32</v>
      </c>
      <c r="D43" s="99" t="s">
        <v>155</v>
      </c>
      <c r="E43" s="32" t="s">
        <v>89</v>
      </c>
      <c r="F43" s="32" t="s">
        <v>117</v>
      </c>
      <c r="G43" s="107" t="s">
        <v>233</v>
      </c>
      <c r="H43" s="101">
        <f>'κοστολογηση Ε2 Ε3'!G12*4+'κοστολογηση Ε2 Ε3'!I12*8+'κοστολογηση Α2 Α3 '!G10*26</f>
        <v>122.6</v>
      </c>
      <c r="I43" s="101">
        <f t="shared" si="1"/>
        <v>120</v>
      </c>
      <c r="J43" s="136">
        <v>88</v>
      </c>
      <c r="K43" s="101">
        <f t="shared" si="2"/>
        <v>10560</v>
      </c>
      <c r="L43" s="112"/>
    </row>
    <row r="44" spans="1:12" ht="18" customHeight="1" x14ac:dyDescent="0.2">
      <c r="B44" s="98">
        <v>28</v>
      </c>
      <c r="C44" s="17" t="s">
        <v>59</v>
      </c>
      <c r="D44" s="99" t="s">
        <v>69</v>
      </c>
      <c r="E44" s="32" t="s">
        <v>63</v>
      </c>
      <c r="F44" s="32" t="s">
        <v>128</v>
      </c>
      <c r="G44" s="107" t="s">
        <v>12</v>
      </c>
      <c r="H44" s="100">
        <f>33.55*26+'κοστολογηση Ε2 Ε3'!G15*4+'κοστολογηση Ε2 Ε3'!I15*8</f>
        <v>11947.5</v>
      </c>
      <c r="I44" s="101">
        <f t="shared" si="1"/>
        <v>11950</v>
      </c>
      <c r="J44" s="101">
        <v>1.1499999999999999</v>
      </c>
      <c r="K44" s="101">
        <f t="shared" si="2"/>
        <v>13742.5</v>
      </c>
      <c r="L44" s="102"/>
    </row>
    <row r="45" spans="1:12" ht="14.25" customHeight="1" x14ac:dyDescent="0.2">
      <c r="B45" s="98">
        <v>29</v>
      </c>
      <c r="C45" s="17" t="s">
        <v>60</v>
      </c>
      <c r="D45" s="99" t="s">
        <v>70</v>
      </c>
      <c r="E45" s="32" t="s">
        <v>64</v>
      </c>
      <c r="F45" s="32" t="s">
        <v>129</v>
      </c>
      <c r="G45" s="107" t="s">
        <v>12</v>
      </c>
      <c r="H45" s="100">
        <f>26*43.68</f>
        <v>1135.68</v>
      </c>
      <c r="I45" s="101">
        <f t="shared" si="1"/>
        <v>1140</v>
      </c>
      <c r="J45" s="101">
        <v>1.1499999999999999</v>
      </c>
      <c r="K45" s="101">
        <f t="shared" si="2"/>
        <v>1311</v>
      </c>
      <c r="L45" s="102"/>
    </row>
    <row r="46" spans="1:12" ht="39" customHeight="1" x14ac:dyDescent="0.2">
      <c r="A46" s="4"/>
      <c r="B46" s="98">
        <v>30</v>
      </c>
      <c r="C46" s="17" t="s">
        <v>151</v>
      </c>
      <c r="D46" s="18">
        <v>23</v>
      </c>
      <c r="E46" s="32" t="s">
        <v>65</v>
      </c>
      <c r="F46" s="32" t="s">
        <v>130</v>
      </c>
      <c r="G46" s="32" t="s">
        <v>256</v>
      </c>
      <c r="H46" s="101">
        <f>'κοστολογηση Ε2 Ε3'!G10*4+'κοστολογηση Ε2 Ε3'!I10*8</f>
        <v>41.08</v>
      </c>
      <c r="I46" s="101">
        <f t="shared" si="1"/>
        <v>40</v>
      </c>
      <c r="J46" s="101">
        <v>10.199999999999999</v>
      </c>
      <c r="K46" s="101">
        <f t="shared" si="2"/>
        <v>408</v>
      </c>
      <c r="L46" s="102"/>
    </row>
    <row r="47" spans="1:12" ht="16.5" customHeight="1" x14ac:dyDescent="0.2">
      <c r="A47" s="4"/>
      <c r="B47" s="98">
        <v>31</v>
      </c>
      <c r="C47" s="17" t="s">
        <v>58</v>
      </c>
      <c r="D47" s="99">
        <v>24</v>
      </c>
      <c r="E47" s="32" t="s">
        <v>66</v>
      </c>
      <c r="F47" s="32" t="s">
        <v>131</v>
      </c>
      <c r="G47" s="107" t="s">
        <v>256</v>
      </c>
      <c r="H47" s="100">
        <f>'κοστολογηση Ε2 Ε3'!G9*4+'κοστολογηση Ε2 Ε3'!I9*8</f>
        <v>269.04000000000002</v>
      </c>
      <c r="I47" s="101">
        <f t="shared" si="1"/>
        <v>270</v>
      </c>
      <c r="J47" s="101">
        <v>1.75</v>
      </c>
      <c r="K47" s="101">
        <f t="shared" si="2"/>
        <v>472.5</v>
      </c>
      <c r="L47" s="102"/>
    </row>
    <row r="48" spans="1:12" ht="20.25" customHeight="1" thickBot="1" x14ac:dyDescent="0.25">
      <c r="B48" s="120"/>
      <c r="C48" s="121"/>
      <c r="D48" s="122"/>
      <c r="E48" s="142"/>
      <c r="F48" s="142"/>
      <c r="G48" s="124"/>
      <c r="H48" s="143"/>
      <c r="I48" s="143"/>
      <c r="J48" s="125"/>
      <c r="K48" s="127" t="s">
        <v>22</v>
      </c>
      <c r="L48" s="128">
        <f>SUM(K39:K47)</f>
        <v>97469</v>
      </c>
    </row>
    <row r="49" spans="2:17" ht="17.25" customHeight="1" x14ac:dyDescent="0.2">
      <c r="B49" s="129"/>
      <c r="C49" s="179" t="s">
        <v>259</v>
      </c>
      <c r="D49" s="130"/>
      <c r="E49" s="26"/>
      <c r="F49" s="26"/>
      <c r="G49" s="131"/>
      <c r="H49" s="132"/>
      <c r="I49" s="132"/>
      <c r="J49" s="133"/>
      <c r="K49" s="134"/>
      <c r="L49" s="135"/>
    </row>
    <row r="50" spans="2:17" ht="18" customHeight="1" x14ac:dyDescent="0.2">
      <c r="B50" s="116"/>
      <c r="C50" s="252" t="s">
        <v>261</v>
      </c>
      <c r="D50" s="253"/>
      <c r="E50" s="253"/>
      <c r="F50" s="253"/>
      <c r="G50" s="253"/>
      <c r="H50" s="253"/>
      <c r="I50" s="253"/>
      <c r="J50" s="253"/>
      <c r="K50" s="253"/>
      <c r="L50" s="254"/>
    </row>
    <row r="51" spans="2:17" ht="23.25" customHeight="1" x14ac:dyDescent="0.2">
      <c r="B51" s="98">
        <v>32</v>
      </c>
      <c r="C51" s="17" t="s">
        <v>51</v>
      </c>
      <c r="D51" s="99" t="s">
        <v>71</v>
      </c>
      <c r="E51" s="32" t="s">
        <v>90</v>
      </c>
      <c r="F51" s="32" t="s">
        <v>118</v>
      </c>
      <c r="G51" s="18" t="s">
        <v>3</v>
      </c>
      <c r="H51" s="136">
        <f>26*2</f>
        <v>52</v>
      </c>
      <c r="I51" s="101">
        <f>MROUND(H51,10)</f>
        <v>50</v>
      </c>
      <c r="J51" s="136">
        <v>41.2</v>
      </c>
      <c r="K51" s="101">
        <f t="shared" ref="K51:K65" si="3">I51*J51</f>
        <v>2060</v>
      </c>
      <c r="L51" s="112"/>
    </row>
    <row r="52" spans="2:17" ht="26.25" customHeight="1" x14ac:dyDescent="0.2">
      <c r="B52" s="98">
        <v>33</v>
      </c>
      <c r="C52" s="17" t="s">
        <v>52</v>
      </c>
      <c r="D52" s="99" t="s">
        <v>72</v>
      </c>
      <c r="E52" s="32" t="s">
        <v>91</v>
      </c>
      <c r="F52" s="32" t="s">
        <v>121</v>
      </c>
      <c r="G52" s="18" t="s">
        <v>3</v>
      </c>
      <c r="H52" s="136">
        <v>1</v>
      </c>
      <c r="I52" s="101">
        <f t="shared" ref="I52:I63" si="4">H52</f>
        <v>1</v>
      </c>
      <c r="J52" s="136">
        <v>57</v>
      </c>
      <c r="K52" s="101">
        <f t="shared" si="3"/>
        <v>57</v>
      </c>
      <c r="L52" s="112"/>
    </row>
    <row r="53" spans="2:17" ht="26.25" customHeight="1" x14ac:dyDescent="0.2">
      <c r="B53" s="98">
        <v>34</v>
      </c>
      <c r="C53" s="17" t="s">
        <v>53</v>
      </c>
      <c r="D53" s="99" t="s">
        <v>276</v>
      </c>
      <c r="E53" s="32" t="s">
        <v>92</v>
      </c>
      <c r="F53" s="32" t="s">
        <v>122</v>
      </c>
      <c r="G53" s="18" t="s">
        <v>3</v>
      </c>
      <c r="H53" s="136">
        <v>1</v>
      </c>
      <c r="I53" s="136">
        <f t="shared" si="4"/>
        <v>1</v>
      </c>
      <c r="J53" s="136">
        <v>72</v>
      </c>
      <c r="K53" s="101">
        <f t="shared" si="3"/>
        <v>72</v>
      </c>
      <c r="L53" s="112"/>
    </row>
    <row r="54" spans="2:17" ht="26.25" customHeight="1" x14ac:dyDescent="0.2">
      <c r="B54" s="98">
        <v>35</v>
      </c>
      <c r="C54" s="17" t="s">
        <v>54</v>
      </c>
      <c r="D54" s="99" t="s">
        <v>277</v>
      </c>
      <c r="E54" s="32" t="s">
        <v>93</v>
      </c>
      <c r="F54" s="32" t="s">
        <v>119</v>
      </c>
      <c r="G54" s="18" t="s">
        <v>3</v>
      </c>
      <c r="H54" s="136">
        <v>120</v>
      </c>
      <c r="I54" s="136">
        <f t="shared" si="4"/>
        <v>120</v>
      </c>
      <c r="J54" s="136">
        <v>103</v>
      </c>
      <c r="K54" s="101">
        <f t="shared" si="3"/>
        <v>12360</v>
      </c>
      <c r="L54" s="112"/>
    </row>
    <row r="55" spans="2:17" ht="26.25" customHeight="1" x14ac:dyDescent="0.2">
      <c r="B55" s="98">
        <v>36</v>
      </c>
      <c r="C55" s="17" t="s">
        <v>55</v>
      </c>
      <c r="D55" s="99" t="s">
        <v>278</v>
      </c>
      <c r="E55" s="32" t="s">
        <v>94</v>
      </c>
      <c r="F55" s="32" t="s">
        <v>120</v>
      </c>
      <c r="G55" s="18" t="s">
        <v>3</v>
      </c>
      <c r="H55" s="136">
        <v>300</v>
      </c>
      <c r="I55" s="136">
        <f t="shared" si="4"/>
        <v>300</v>
      </c>
      <c r="J55" s="136">
        <v>144</v>
      </c>
      <c r="K55" s="101">
        <f t="shared" si="3"/>
        <v>43200</v>
      </c>
      <c r="L55" s="112"/>
    </row>
    <row r="56" spans="2:17" ht="28.5" customHeight="1" x14ac:dyDescent="0.2">
      <c r="B56" s="98">
        <v>37</v>
      </c>
      <c r="C56" s="17" t="s">
        <v>9</v>
      </c>
      <c r="D56" s="99">
        <v>26</v>
      </c>
      <c r="E56" s="32" t="s">
        <v>95</v>
      </c>
      <c r="F56" s="32" t="s">
        <v>123</v>
      </c>
      <c r="G56" s="107" t="s">
        <v>16</v>
      </c>
      <c r="H56" s="137">
        <v>30</v>
      </c>
      <c r="I56" s="137">
        <f t="shared" si="4"/>
        <v>30</v>
      </c>
      <c r="J56" s="101">
        <v>103</v>
      </c>
      <c r="K56" s="101">
        <f t="shared" si="3"/>
        <v>3090</v>
      </c>
      <c r="L56" s="102"/>
      <c r="Q56" s="2">
        <f>0.43/(0.19*0.05)</f>
        <v>45.2631578947368</v>
      </c>
    </row>
    <row r="57" spans="2:17" ht="24.75" customHeight="1" x14ac:dyDescent="0.2">
      <c r="B57" s="98">
        <v>38</v>
      </c>
      <c r="C57" s="17" t="s">
        <v>269</v>
      </c>
      <c r="D57" s="99">
        <v>27</v>
      </c>
      <c r="E57" s="63" t="s">
        <v>268</v>
      </c>
      <c r="F57" s="63" t="s">
        <v>194</v>
      </c>
      <c r="G57" s="107" t="s">
        <v>11</v>
      </c>
      <c r="H57" s="101">
        <v>150</v>
      </c>
      <c r="I57" s="101">
        <v>150</v>
      </c>
      <c r="J57" s="111">
        <v>15.5</v>
      </c>
      <c r="K57" s="101">
        <f t="shared" si="3"/>
        <v>2325</v>
      </c>
      <c r="L57" s="112"/>
    </row>
    <row r="58" spans="2:17" ht="28.5" customHeight="1" x14ac:dyDescent="0.2">
      <c r="B58" s="98">
        <v>39</v>
      </c>
      <c r="C58" s="17" t="s">
        <v>56</v>
      </c>
      <c r="D58" s="99" t="s">
        <v>279</v>
      </c>
      <c r="E58" s="32" t="s">
        <v>96</v>
      </c>
      <c r="F58" s="32" t="s">
        <v>124</v>
      </c>
      <c r="G58" s="18" t="s">
        <v>3</v>
      </c>
      <c r="H58" s="100">
        <v>50</v>
      </c>
      <c r="I58" s="100">
        <f t="shared" si="4"/>
        <v>50</v>
      </c>
      <c r="J58" s="101">
        <v>9.3000000000000007</v>
      </c>
      <c r="K58" s="101">
        <f t="shared" si="3"/>
        <v>465</v>
      </c>
      <c r="L58" s="102"/>
    </row>
    <row r="59" spans="2:17" ht="28.5" customHeight="1" x14ac:dyDescent="0.2">
      <c r="B59" s="98">
        <v>40</v>
      </c>
      <c r="C59" s="17" t="s">
        <v>57</v>
      </c>
      <c r="D59" s="99" t="s">
        <v>280</v>
      </c>
      <c r="E59" s="32" t="s">
        <v>97</v>
      </c>
      <c r="F59" s="32" t="s">
        <v>125</v>
      </c>
      <c r="G59" s="18" t="s">
        <v>3</v>
      </c>
      <c r="H59" s="100">
        <v>50</v>
      </c>
      <c r="I59" s="100">
        <f t="shared" si="4"/>
        <v>50</v>
      </c>
      <c r="J59" s="101">
        <v>22.8</v>
      </c>
      <c r="K59" s="101">
        <f t="shared" si="3"/>
        <v>1140</v>
      </c>
      <c r="L59" s="102"/>
    </row>
    <row r="60" spans="2:17" ht="15.75" customHeight="1" x14ac:dyDescent="0.2">
      <c r="B60" s="98">
        <v>41</v>
      </c>
      <c r="C60" s="138" t="s">
        <v>140</v>
      </c>
      <c r="D60" s="99" t="s">
        <v>156</v>
      </c>
      <c r="E60" s="32" t="s">
        <v>141</v>
      </c>
      <c r="F60" s="32" t="s">
        <v>126</v>
      </c>
      <c r="G60" s="107" t="s">
        <v>12</v>
      </c>
      <c r="H60" s="100">
        <v>250</v>
      </c>
      <c r="I60" s="101">
        <f t="shared" si="4"/>
        <v>250</v>
      </c>
      <c r="J60" s="139">
        <v>1.85</v>
      </c>
      <c r="K60" s="101">
        <f t="shared" si="3"/>
        <v>462.5</v>
      </c>
      <c r="L60" s="102"/>
    </row>
    <row r="61" spans="2:17" ht="15.75" customHeight="1" x14ac:dyDescent="0.2">
      <c r="B61" s="98">
        <v>42</v>
      </c>
      <c r="C61" s="138" t="s">
        <v>142</v>
      </c>
      <c r="D61" s="99" t="s">
        <v>157</v>
      </c>
      <c r="E61" s="32" t="s">
        <v>143</v>
      </c>
      <c r="F61" s="32" t="s">
        <v>126</v>
      </c>
      <c r="G61" s="107" t="s">
        <v>12</v>
      </c>
      <c r="H61" s="100">
        <f>12*90</f>
        <v>1080</v>
      </c>
      <c r="I61" s="101">
        <f t="shared" si="4"/>
        <v>1080</v>
      </c>
      <c r="J61" s="139">
        <v>2.9</v>
      </c>
      <c r="K61" s="101">
        <f t="shared" si="3"/>
        <v>3132</v>
      </c>
      <c r="L61" s="102"/>
    </row>
    <row r="62" spans="2:17" ht="18" customHeight="1" x14ac:dyDescent="0.2">
      <c r="B62" s="98">
        <v>43</v>
      </c>
      <c r="C62" s="138" t="s">
        <v>144</v>
      </c>
      <c r="D62" s="99" t="s">
        <v>162</v>
      </c>
      <c r="E62" s="32" t="s">
        <v>145</v>
      </c>
      <c r="F62" s="140" t="s">
        <v>126</v>
      </c>
      <c r="G62" s="107" t="s">
        <v>12</v>
      </c>
      <c r="H62" s="100">
        <f>8*220</f>
        <v>1760</v>
      </c>
      <c r="I62" s="101">
        <f t="shared" si="4"/>
        <v>1760</v>
      </c>
      <c r="J62" s="139">
        <v>1.44</v>
      </c>
      <c r="K62" s="101">
        <f t="shared" si="3"/>
        <v>2534.4</v>
      </c>
      <c r="L62" s="102"/>
    </row>
    <row r="63" spans="2:17" ht="18" customHeight="1" x14ac:dyDescent="0.2">
      <c r="B63" s="98">
        <v>44</v>
      </c>
      <c r="C63" s="79" t="s">
        <v>146</v>
      </c>
      <c r="D63" s="99" t="s">
        <v>163</v>
      </c>
      <c r="E63" s="32" t="s">
        <v>147</v>
      </c>
      <c r="F63" s="141" t="s">
        <v>126</v>
      </c>
      <c r="G63" s="107" t="s">
        <v>12</v>
      </c>
      <c r="H63" s="100">
        <f>52*100</f>
        <v>5200</v>
      </c>
      <c r="I63" s="101">
        <f t="shared" si="4"/>
        <v>5200</v>
      </c>
      <c r="J63" s="139">
        <v>2.9</v>
      </c>
      <c r="K63" s="101">
        <f t="shared" si="3"/>
        <v>15080</v>
      </c>
      <c r="L63" s="102"/>
    </row>
    <row r="64" spans="2:17" ht="25.5" customHeight="1" x14ac:dyDescent="0.2">
      <c r="B64" s="98">
        <v>45</v>
      </c>
      <c r="C64" s="138" t="s">
        <v>148</v>
      </c>
      <c r="D64" s="99">
        <v>31</v>
      </c>
      <c r="E64" s="32" t="s">
        <v>149</v>
      </c>
      <c r="F64" s="141" t="s">
        <v>150</v>
      </c>
      <c r="G64" s="107" t="s">
        <v>12</v>
      </c>
      <c r="H64" s="100">
        <f>26*92</f>
        <v>2392</v>
      </c>
      <c r="I64" s="101">
        <f>MROUND(H64,10)</f>
        <v>2390</v>
      </c>
      <c r="J64" s="101">
        <v>2.1</v>
      </c>
      <c r="K64" s="101">
        <f t="shared" si="3"/>
        <v>5019</v>
      </c>
      <c r="L64" s="102"/>
    </row>
    <row r="65" spans="2:15" ht="14.25" customHeight="1" x14ac:dyDescent="0.2">
      <c r="B65" s="98">
        <v>46</v>
      </c>
      <c r="C65" s="17" t="s">
        <v>33</v>
      </c>
      <c r="D65" s="99">
        <v>32</v>
      </c>
      <c r="E65" s="32" t="s">
        <v>62</v>
      </c>
      <c r="F65" s="32" t="s">
        <v>127</v>
      </c>
      <c r="G65" s="107" t="s">
        <v>12</v>
      </c>
      <c r="H65" s="100">
        <f>28*12</f>
        <v>336</v>
      </c>
      <c r="I65" s="101">
        <f>MROUND(H65,10)</f>
        <v>340</v>
      </c>
      <c r="J65" s="101">
        <v>2.2999999999999998</v>
      </c>
      <c r="K65" s="101">
        <f t="shared" si="3"/>
        <v>782</v>
      </c>
      <c r="L65" s="102"/>
    </row>
    <row r="66" spans="2:15" ht="20.25" customHeight="1" thickBot="1" x14ac:dyDescent="0.25">
      <c r="B66" s="120"/>
      <c r="C66" s="121"/>
      <c r="D66" s="122"/>
      <c r="E66" s="142"/>
      <c r="F66" s="142"/>
      <c r="G66" s="124"/>
      <c r="H66" s="143"/>
      <c r="I66" s="143"/>
      <c r="J66" s="125"/>
      <c r="K66" s="127" t="s">
        <v>22</v>
      </c>
      <c r="L66" s="128">
        <f>SUM(K51:K65)</f>
        <v>91778.9</v>
      </c>
    </row>
    <row r="67" spans="2:15" ht="17.25" customHeight="1" x14ac:dyDescent="0.2">
      <c r="B67" s="144"/>
      <c r="C67" s="145"/>
      <c r="D67" s="146"/>
      <c r="E67" s="131"/>
      <c r="F67" s="131"/>
      <c r="G67" s="131"/>
      <c r="H67" s="132"/>
      <c r="I67" s="132"/>
      <c r="J67" s="132"/>
      <c r="K67" s="132"/>
      <c r="L67" s="147"/>
    </row>
    <row r="68" spans="2:15" ht="17.25" customHeight="1" x14ac:dyDescent="0.2">
      <c r="B68" s="148"/>
      <c r="C68" s="17"/>
      <c r="D68" s="149"/>
      <c r="E68" s="32"/>
      <c r="F68" s="32"/>
      <c r="G68" s="32"/>
      <c r="H68" s="101"/>
      <c r="I68" s="150"/>
      <c r="J68" s="151" t="s">
        <v>4</v>
      </c>
      <c r="K68" s="152"/>
      <c r="L68" s="109">
        <f>L66+L48+L35</f>
        <v>283720.2</v>
      </c>
      <c r="N68" s="184"/>
    </row>
    <row r="69" spans="2:15" ht="17.25" customHeight="1" thickBot="1" x14ac:dyDescent="0.25">
      <c r="B69" s="148"/>
      <c r="C69" s="153"/>
      <c r="D69" s="149"/>
      <c r="E69" s="32"/>
      <c r="F69" s="32"/>
      <c r="G69" s="32"/>
      <c r="H69" s="101"/>
      <c r="I69" s="150"/>
      <c r="J69" s="151" t="s">
        <v>13</v>
      </c>
      <c r="K69" s="154"/>
      <c r="L69" s="155">
        <f>L68*0.18</f>
        <v>51069.64</v>
      </c>
    </row>
    <row r="70" spans="2:15" ht="17.25" customHeight="1" thickTop="1" x14ac:dyDescent="0.2">
      <c r="B70" s="148"/>
      <c r="C70" s="153"/>
      <c r="D70" s="149"/>
      <c r="E70" s="32"/>
      <c r="F70" s="32"/>
      <c r="G70" s="32"/>
      <c r="H70" s="101"/>
      <c r="I70" s="150"/>
      <c r="J70" s="156" t="s">
        <v>35</v>
      </c>
      <c r="K70" s="157"/>
      <c r="L70" s="158">
        <f>L68+L69</f>
        <v>334789.84000000003</v>
      </c>
      <c r="O70" s="184"/>
    </row>
    <row r="71" spans="2:15" ht="17.25" customHeight="1" thickBot="1" x14ac:dyDescent="0.25">
      <c r="B71" s="148"/>
      <c r="C71" s="153"/>
      <c r="D71" s="149"/>
      <c r="E71" s="32"/>
      <c r="F71" s="32"/>
      <c r="G71" s="32"/>
      <c r="H71" s="101"/>
      <c r="I71" s="159"/>
      <c r="J71" s="160" t="s">
        <v>7</v>
      </c>
      <c r="K71" s="161"/>
      <c r="L71" s="155">
        <f>L70*0.15</f>
        <v>50218.48</v>
      </c>
      <c r="O71" s="184"/>
    </row>
    <row r="72" spans="2:15" ht="17.25" customHeight="1" thickTop="1" x14ac:dyDescent="0.2">
      <c r="B72" s="148"/>
      <c r="C72" s="153"/>
      <c r="D72" s="149"/>
      <c r="E72" s="32"/>
      <c r="F72" s="32"/>
      <c r="G72" s="32"/>
      <c r="H72" s="101"/>
      <c r="I72" s="150"/>
      <c r="J72" s="156" t="s">
        <v>5</v>
      </c>
      <c r="K72" s="157"/>
      <c r="L72" s="162">
        <f>L71+L70</f>
        <v>385008.32</v>
      </c>
    </row>
    <row r="73" spans="2:15" ht="29.25" customHeight="1" x14ac:dyDescent="0.2">
      <c r="B73" s="148"/>
      <c r="C73" s="153"/>
      <c r="D73" s="149"/>
      <c r="E73" s="32"/>
      <c r="F73" s="32"/>
      <c r="G73" s="32"/>
      <c r="H73" s="101"/>
      <c r="I73" s="150"/>
      <c r="J73" s="279" t="s">
        <v>290</v>
      </c>
      <c r="K73" s="280"/>
      <c r="L73" s="183">
        <v>35000</v>
      </c>
    </row>
    <row r="74" spans="2:15" ht="31.5" customHeight="1" x14ac:dyDescent="0.2">
      <c r="B74" s="148"/>
      <c r="C74" s="153"/>
      <c r="D74" s="149"/>
      <c r="E74" s="32"/>
      <c r="F74" s="32"/>
      <c r="G74" s="32"/>
      <c r="H74" s="101"/>
      <c r="I74" s="150"/>
      <c r="J74" s="279" t="s">
        <v>158</v>
      </c>
      <c r="K74" s="281"/>
      <c r="L74" s="183">
        <f>L73*0.18</f>
        <v>6300</v>
      </c>
    </row>
    <row r="75" spans="2:15" ht="17.25" customHeight="1" thickBot="1" x14ac:dyDescent="0.25">
      <c r="B75" s="148"/>
      <c r="C75" s="153"/>
      <c r="D75" s="149"/>
      <c r="E75" s="32"/>
      <c r="F75" s="32"/>
      <c r="G75" s="32"/>
      <c r="H75" s="101"/>
      <c r="I75" s="150"/>
      <c r="J75" s="151" t="s">
        <v>36</v>
      </c>
      <c r="K75" s="154"/>
      <c r="L75" s="155">
        <f>L76-L72-L73-L74</f>
        <v>1111.03</v>
      </c>
    </row>
    <row r="76" spans="2:15" ht="17.25" customHeight="1" thickTop="1" x14ac:dyDescent="0.2">
      <c r="B76" s="148"/>
      <c r="C76" s="153"/>
      <c r="D76" s="149"/>
      <c r="E76" s="32"/>
      <c r="F76" s="32"/>
      <c r="G76" s="32"/>
      <c r="H76" s="101"/>
      <c r="I76" s="150"/>
      <c r="J76" s="156" t="s">
        <v>47</v>
      </c>
      <c r="K76" s="157"/>
      <c r="L76" s="163">
        <f>L78-L77</f>
        <v>427419.35</v>
      </c>
      <c r="M76" s="3"/>
    </row>
    <row r="77" spans="2:15" ht="17.25" customHeight="1" thickBot="1" x14ac:dyDescent="0.25">
      <c r="B77" s="148"/>
      <c r="C77" s="153"/>
      <c r="D77" s="149"/>
      <c r="E77" s="32"/>
      <c r="F77" s="32"/>
      <c r="G77" s="32"/>
      <c r="H77" s="101"/>
      <c r="I77" s="150"/>
      <c r="J77" s="151" t="s">
        <v>195</v>
      </c>
      <c r="K77" s="164"/>
      <c r="L77" s="155">
        <f>L78-L78/1.24</f>
        <v>102580.65</v>
      </c>
      <c r="N77" s="184"/>
    </row>
    <row r="78" spans="2:15" ht="17.25" customHeight="1" thickTop="1" thickBot="1" x14ac:dyDescent="0.25">
      <c r="B78" s="165"/>
      <c r="C78" s="166"/>
      <c r="D78" s="167"/>
      <c r="E78" s="166"/>
      <c r="F78" s="166"/>
      <c r="G78" s="168"/>
      <c r="H78" s="125"/>
      <c r="I78" s="169"/>
      <c r="J78" s="170" t="s">
        <v>34</v>
      </c>
      <c r="K78" s="171"/>
      <c r="L78" s="172">
        <v>530000</v>
      </c>
      <c r="N78" s="184"/>
    </row>
    <row r="80" spans="2:15" ht="24" customHeight="1" x14ac:dyDescent="0.2">
      <c r="C80" s="6"/>
      <c r="H80" s="276"/>
      <c r="I80" s="276"/>
      <c r="J80" s="276"/>
      <c r="K80" s="1"/>
      <c r="L80" s="1"/>
      <c r="M80" s="1"/>
    </row>
    <row r="81" spans="1:17" ht="15.75" x14ac:dyDescent="0.25">
      <c r="C81" s="277" t="s">
        <v>293</v>
      </c>
      <c r="D81" s="277"/>
      <c r="E81" s="277"/>
      <c r="F81" s="277"/>
      <c r="G81" s="277"/>
      <c r="H81" s="277"/>
      <c r="I81" s="277"/>
      <c r="J81" s="277"/>
      <c r="K81" s="277"/>
      <c r="L81" s="277"/>
    </row>
    <row r="82" spans="1:17" ht="25.5" customHeight="1" x14ac:dyDescent="0.2">
      <c r="C82" s="6"/>
      <c r="H82" s="276"/>
      <c r="I82" s="276"/>
      <c r="J82" s="276"/>
    </row>
    <row r="83" spans="1:17" s="84" customFormat="1" ht="15.75" x14ac:dyDescent="0.25">
      <c r="A83" s="83"/>
      <c r="B83" s="83"/>
      <c r="C83" s="82" t="s">
        <v>283</v>
      </c>
      <c r="D83" s="83"/>
      <c r="E83" s="271" t="s">
        <v>281</v>
      </c>
      <c r="F83" s="271"/>
      <c r="G83" s="271"/>
      <c r="H83" s="277" t="s">
        <v>282</v>
      </c>
      <c r="I83" s="277"/>
      <c r="J83" s="277"/>
      <c r="K83" s="277"/>
      <c r="L83" s="182"/>
      <c r="M83" s="83"/>
      <c r="N83" s="83"/>
      <c r="O83" s="83"/>
      <c r="P83" s="83"/>
      <c r="Q83" s="83"/>
    </row>
    <row r="84" spans="1:17" s="84" customFormat="1" ht="44.25" customHeight="1" x14ac:dyDescent="0.2">
      <c r="A84" s="83"/>
      <c r="B84" s="83"/>
      <c r="C84" s="83"/>
      <c r="D84" s="83"/>
      <c r="E84" s="83"/>
      <c r="F84" s="83"/>
      <c r="G84" s="83"/>
      <c r="H84" s="278" t="s">
        <v>287</v>
      </c>
      <c r="I84" s="278"/>
      <c r="J84" s="278"/>
      <c r="K84" s="278"/>
      <c r="L84" s="83"/>
      <c r="M84" s="83"/>
      <c r="N84" s="83"/>
      <c r="O84" s="83"/>
      <c r="P84" s="83"/>
      <c r="Q84" s="83"/>
    </row>
    <row r="85" spans="1:17" s="84" customFormat="1" ht="20.100000000000001" customHeight="1" x14ac:dyDescent="0.2">
      <c r="A85" s="83"/>
      <c r="B85" s="83"/>
      <c r="C85" s="83"/>
      <c r="D85" s="83"/>
      <c r="E85" s="83"/>
      <c r="F85" s="83"/>
      <c r="G85" s="83"/>
      <c r="H85" s="251"/>
      <c r="I85" s="251"/>
      <c r="J85" s="251"/>
      <c r="K85" s="251"/>
      <c r="L85" s="83"/>
      <c r="M85" s="83"/>
      <c r="N85" s="83"/>
      <c r="O85" s="83"/>
      <c r="P85" s="83"/>
      <c r="Q85" s="83"/>
    </row>
    <row r="86" spans="1:17" s="84" customFormat="1" ht="20.100000000000001" customHeight="1" x14ac:dyDescent="0.2">
      <c r="A86" s="83"/>
      <c r="B86" s="83"/>
      <c r="C86" s="83"/>
      <c r="D86" s="83"/>
      <c r="E86" s="83"/>
      <c r="F86" s="83"/>
      <c r="G86" s="83"/>
      <c r="H86" s="251"/>
      <c r="I86" s="251"/>
      <c r="J86" s="251"/>
      <c r="K86" s="251"/>
      <c r="L86" s="83"/>
      <c r="M86" s="83"/>
      <c r="N86" s="83"/>
      <c r="O86" s="83"/>
      <c r="P86" s="83"/>
      <c r="Q86" s="83"/>
    </row>
    <row r="87" spans="1:17" s="84" customFormat="1" ht="15.75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</row>
    <row r="88" spans="1:17" s="84" customFormat="1" ht="51" customHeight="1" x14ac:dyDescent="0.25">
      <c r="A88" s="83"/>
      <c r="B88" s="83"/>
      <c r="C88" s="180" t="s">
        <v>284</v>
      </c>
      <c r="D88" s="83"/>
      <c r="E88" s="270" t="s">
        <v>285</v>
      </c>
      <c r="F88" s="270"/>
      <c r="G88" s="270"/>
      <c r="H88" s="270" t="s">
        <v>286</v>
      </c>
      <c r="I88" s="270"/>
      <c r="J88" s="271"/>
      <c r="K88" s="271"/>
      <c r="L88" s="83"/>
      <c r="M88" s="83"/>
      <c r="N88" s="83"/>
      <c r="O88" s="83"/>
      <c r="P88" s="83"/>
      <c r="Q88" s="83"/>
    </row>
    <row r="89" spans="1:17" ht="14.25" x14ac:dyDescent="0.2">
      <c r="C89" s="8"/>
    </row>
    <row r="90" spans="1:17" ht="95.25" customHeight="1" x14ac:dyDescent="0.25">
      <c r="C90" s="272" t="s">
        <v>294</v>
      </c>
      <c r="D90" s="272"/>
      <c r="E90" s="272"/>
      <c r="F90" s="272"/>
      <c r="G90" s="272"/>
      <c r="H90" s="272"/>
      <c r="I90" s="272"/>
      <c r="J90" s="272"/>
      <c r="K90" s="272"/>
    </row>
    <row r="91" spans="1:17" x14ac:dyDescent="0.2">
      <c r="C91" s="7"/>
    </row>
    <row r="92" spans="1:17" ht="15" x14ac:dyDescent="0.2">
      <c r="D92" s="273" t="s">
        <v>152</v>
      </c>
      <c r="E92" s="273"/>
      <c r="F92" s="273"/>
    </row>
  </sheetData>
  <dataConsolidate/>
  <mergeCells count="32">
    <mergeCell ref="E88:G88"/>
    <mergeCell ref="H88:K88"/>
    <mergeCell ref="C90:K90"/>
    <mergeCell ref="D92:F92"/>
    <mergeCell ref="J10:L10"/>
    <mergeCell ref="C11:C12"/>
    <mergeCell ref="H80:J80"/>
    <mergeCell ref="C81:L81"/>
    <mergeCell ref="E83:G83"/>
    <mergeCell ref="H84:K84"/>
    <mergeCell ref="H83:K83"/>
    <mergeCell ref="J73:K73"/>
    <mergeCell ref="J74:K74"/>
    <mergeCell ref="C38:L38"/>
    <mergeCell ref="H82:J82"/>
    <mergeCell ref="C50:L50"/>
    <mergeCell ref="B11:B12"/>
    <mergeCell ref="G11:G12"/>
    <mergeCell ref="K11:L11"/>
    <mergeCell ref="H11:H12"/>
    <mergeCell ref="J11:J12"/>
    <mergeCell ref="C14:L14"/>
    <mergeCell ref="I11:I12"/>
    <mergeCell ref="D11:D12"/>
    <mergeCell ref="K1:L4"/>
    <mergeCell ref="E11:E12"/>
    <mergeCell ref="F11:F12"/>
    <mergeCell ref="J8:L8"/>
    <mergeCell ref="J9:L9"/>
    <mergeCell ref="G8:I8"/>
    <mergeCell ref="G9:I9"/>
    <mergeCell ref="G10:I10"/>
  </mergeCells>
  <phoneticPr fontId="1" type="noConversion"/>
  <pageMargins left="0.30364583333333334" right="0.28125" top="0.74803149606299213" bottom="0.55000000000000004" header="0.31496062992125984" footer="0.31496062992125984"/>
  <pageSetup paperSize="9" scale="60" orientation="portrait" horizontalDpi="300" verticalDpi="300" r:id="rId1"/>
  <headerFooter alignWithMargins="0">
    <oddFooter>&amp;CΣελίδα &amp;P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workbookViewId="0">
      <selection activeCell="J9" sqref="J9:L9"/>
    </sheetView>
  </sheetViews>
  <sheetFormatPr defaultRowHeight="12.75" x14ac:dyDescent="0.2"/>
  <cols>
    <col min="1" max="1" width="2.140625" style="190" customWidth="1"/>
    <col min="2" max="2" width="5.28515625" style="190" customWidth="1"/>
    <col min="3" max="3" width="50" style="190" customWidth="1"/>
    <col min="4" max="4" width="17" style="190" customWidth="1"/>
    <col min="5" max="5" width="19.5703125" style="190" customWidth="1"/>
    <col min="6" max="6" width="17.5703125" style="190" customWidth="1"/>
    <col min="7" max="7" width="16.85546875" style="190" customWidth="1"/>
    <col min="8" max="8" width="13.7109375" style="190" hidden="1" customWidth="1"/>
    <col min="9" max="9" width="13.7109375" style="190" customWidth="1"/>
    <col min="10" max="10" width="10.140625" style="190" customWidth="1"/>
    <col min="11" max="11" width="11.5703125" style="190" customWidth="1"/>
    <col min="12" max="12" width="17.85546875" style="190" customWidth="1"/>
    <col min="13" max="13" width="0.28515625" style="190" hidden="1" customWidth="1"/>
    <col min="14" max="15" width="10.140625" style="190" bestFit="1" customWidth="1"/>
    <col min="16" max="17" width="9.140625" style="190"/>
    <col min="18" max="16384" width="9.140625" style="193"/>
  </cols>
  <sheetData>
    <row r="1" spans="1:17" ht="19.5" customHeight="1" x14ac:dyDescent="0.25">
      <c r="B1" s="190" t="s">
        <v>134</v>
      </c>
      <c r="C1" s="191" t="s">
        <v>262</v>
      </c>
      <c r="D1" s="282" t="s">
        <v>263</v>
      </c>
      <c r="E1" s="282"/>
      <c r="F1" s="282"/>
      <c r="J1" s="192"/>
      <c r="K1" s="244"/>
      <c r="L1" s="244"/>
    </row>
    <row r="2" spans="1:17" ht="22.5" customHeight="1" x14ac:dyDescent="0.25">
      <c r="C2" s="191"/>
      <c r="D2" s="190" t="s">
        <v>264</v>
      </c>
      <c r="E2" s="190" t="s">
        <v>265</v>
      </c>
      <c r="F2" s="190" t="s">
        <v>266</v>
      </c>
      <c r="G2" s="210" t="s">
        <v>267</v>
      </c>
      <c r="K2" s="244"/>
      <c r="L2" s="244"/>
    </row>
    <row r="3" spans="1:17" ht="39" customHeight="1" x14ac:dyDescent="0.25">
      <c r="C3" s="194"/>
      <c r="K3" s="244"/>
      <c r="L3" s="244"/>
    </row>
    <row r="4" spans="1:17" ht="18.75" customHeight="1" x14ac:dyDescent="0.25">
      <c r="C4" s="191"/>
      <c r="K4" s="244"/>
      <c r="L4" s="244"/>
    </row>
    <row r="5" spans="1:17" ht="18.75" customHeight="1" x14ac:dyDescent="0.25">
      <c r="C5" s="191"/>
      <c r="K5" s="195"/>
      <c r="L5" s="196"/>
    </row>
    <row r="6" spans="1:17" s="197" customFormat="1" ht="22.5" customHeight="1" x14ac:dyDescent="0.2">
      <c r="C6" s="198"/>
      <c r="K6" s="199"/>
      <c r="L6" s="199"/>
    </row>
    <row r="7" spans="1:17" s="197" customFormat="1" ht="18.75" customHeight="1" x14ac:dyDescent="0.2"/>
    <row r="8" spans="1:17" s="200" customFormat="1" ht="18.75" customHeight="1" x14ac:dyDescent="0.2">
      <c r="G8" s="283"/>
      <c r="H8" s="283"/>
      <c r="I8" s="283"/>
      <c r="J8" s="283"/>
      <c r="K8" s="283"/>
      <c r="L8" s="283"/>
    </row>
    <row r="9" spans="1:17" s="200" customFormat="1" ht="21.75" customHeight="1" x14ac:dyDescent="0.2">
      <c r="G9" s="284"/>
      <c r="H9" s="284"/>
      <c r="I9" s="284"/>
      <c r="J9" s="284"/>
      <c r="K9" s="284"/>
      <c r="L9" s="284"/>
    </row>
    <row r="10" spans="1:17" s="200" customFormat="1" ht="22.5" customHeight="1" x14ac:dyDescent="0.2">
      <c r="G10" s="284"/>
      <c r="H10" s="284"/>
      <c r="I10" s="284"/>
      <c r="J10" s="285"/>
      <c r="K10" s="284"/>
      <c r="L10" s="284"/>
    </row>
    <row r="11" spans="1:17" s="205" customFormat="1" ht="20.25" customHeight="1" x14ac:dyDescent="0.25">
      <c r="A11" s="201"/>
      <c r="B11" s="286"/>
      <c r="C11" s="286"/>
      <c r="D11" s="286"/>
      <c r="E11" s="286"/>
      <c r="F11" s="286"/>
      <c r="G11" s="288"/>
      <c r="H11" s="289"/>
      <c r="I11" s="289"/>
      <c r="J11" s="289"/>
      <c r="K11" s="290"/>
      <c r="L11" s="290"/>
      <c r="M11" s="201"/>
      <c r="N11" s="201"/>
      <c r="O11" s="201"/>
      <c r="P11" s="201"/>
      <c r="Q11" s="201"/>
    </row>
    <row r="12" spans="1:17" s="205" customFormat="1" ht="15" x14ac:dyDescent="0.2">
      <c r="A12" s="201"/>
      <c r="B12" s="287"/>
      <c r="C12" s="286"/>
      <c r="D12" s="287"/>
      <c r="E12" s="286"/>
      <c r="F12" s="286"/>
      <c r="G12" s="288"/>
      <c r="H12" s="289"/>
      <c r="I12" s="289"/>
      <c r="J12" s="289"/>
      <c r="K12" s="204"/>
      <c r="L12" s="204"/>
      <c r="M12" s="201"/>
      <c r="N12" s="201"/>
      <c r="O12" s="201"/>
      <c r="P12" s="201"/>
      <c r="Q12" s="201"/>
    </row>
    <row r="13" spans="1:17" s="205" customFormat="1" ht="15" x14ac:dyDescent="0.2">
      <c r="A13" s="201"/>
      <c r="B13" s="206"/>
      <c r="C13" s="207"/>
      <c r="D13" s="206"/>
      <c r="E13" s="202"/>
      <c r="F13" s="202"/>
      <c r="G13" s="203"/>
      <c r="H13" s="204"/>
      <c r="I13" s="204"/>
      <c r="J13" s="204"/>
      <c r="K13" s="204"/>
      <c r="L13" s="204"/>
      <c r="M13" s="201"/>
      <c r="N13" s="201"/>
      <c r="O13" s="201"/>
      <c r="P13" s="201"/>
      <c r="Q13" s="201"/>
    </row>
    <row r="14" spans="1:17" s="205" customFormat="1" ht="15" x14ac:dyDescent="0.2">
      <c r="A14" s="201"/>
      <c r="B14" s="206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01"/>
      <c r="N14" s="201"/>
      <c r="O14" s="201"/>
      <c r="P14" s="201"/>
      <c r="Q14" s="201"/>
    </row>
    <row r="15" spans="1:17" ht="28.5" customHeight="1" x14ac:dyDescent="0.2">
      <c r="B15" s="208"/>
      <c r="C15" s="209"/>
      <c r="D15" s="208"/>
      <c r="E15" s="210"/>
      <c r="F15" s="210"/>
      <c r="G15" s="208"/>
      <c r="H15" s="211"/>
      <c r="I15" s="211"/>
      <c r="J15" s="211"/>
      <c r="K15" s="211"/>
      <c r="L15" s="212"/>
    </row>
    <row r="16" spans="1:17" ht="24.75" customHeight="1" x14ac:dyDescent="0.2">
      <c r="B16" s="208"/>
      <c r="C16" s="209"/>
      <c r="D16" s="208"/>
      <c r="E16" s="210"/>
      <c r="F16" s="213"/>
      <c r="G16" s="208"/>
      <c r="H16" s="211"/>
      <c r="I16" s="211"/>
      <c r="J16" s="211"/>
      <c r="K16" s="211"/>
      <c r="L16" s="212"/>
    </row>
    <row r="17" spans="1:17" ht="39.75" customHeight="1" x14ac:dyDescent="0.2">
      <c r="B17" s="208"/>
      <c r="C17" s="209"/>
      <c r="D17" s="208"/>
      <c r="E17" s="210"/>
      <c r="F17" s="210"/>
      <c r="G17" s="208"/>
      <c r="H17" s="211"/>
      <c r="I17" s="211"/>
      <c r="J17" s="211"/>
      <c r="K17" s="211"/>
      <c r="L17" s="212"/>
    </row>
    <row r="18" spans="1:17" ht="25.5" customHeight="1" x14ac:dyDescent="0.2">
      <c r="B18" s="208"/>
      <c r="C18" s="209"/>
      <c r="D18" s="208"/>
      <c r="E18" s="210"/>
      <c r="F18" s="213"/>
      <c r="G18" s="208"/>
      <c r="H18" s="214"/>
      <c r="I18" s="211"/>
      <c r="J18" s="214"/>
      <c r="K18" s="211"/>
      <c r="L18" s="212"/>
    </row>
    <row r="19" spans="1:17" ht="51.75" customHeight="1" x14ac:dyDescent="0.2">
      <c r="B19" s="208"/>
      <c r="C19" s="209"/>
      <c r="D19" s="208"/>
      <c r="E19" s="208"/>
      <c r="F19" s="208"/>
      <c r="G19" s="210"/>
      <c r="H19" s="211"/>
      <c r="I19" s="211"/>
      <c r="J19" s="215"/>
      <c r="K19" s="211"/>
      <c r="L19" s="215"/>
    </row>
    <row r="20" spans="1:17" ht="45.75" customHeight="1" x14ac:dyDescent="0.2">
      <c r="B20" s="208"/>
      <c r="C20" s="209"/>
      <c r="D20" s="208"/>
      <c r="E20" s="208"/>
      <c r="F20" s="208"/>
      <c r="G20" s="210"/>
      <c r="H20" s="211"/>
      <c r="I20" s="211"/>
      <c r="J20" s="215"/>
      <c r="K20" s="211"/>
      <c r="L20" s="215"/>
    </row>
    <row r="21" spans="1:17" ht="40.5" customHeight="1" x14ac:dyDescent="0.2">
      <c r="B21" s="208"/>
      <c r="C21" s="209"/>
      <c r="D21" s="208"/>
      <c r="E21" s="208"/>
      <c r="F21" s="208"/>
      <c r="G21" s="210"/>
      <c r="H21" s="211"/>
      <c r="I21" s="211"/>
      <c r="J21" s="215"/>
      <c r="K21" s="211"/>
      <c r="L21" s="215"/>
    </row>
    <row r="22" spans="1:17" ht="39" customHeight="1" x14ac:dyDescent="0.2">
      <c r="B22" s="208"/>
      <c r="C22" s="209"/>
      <c r="D22" s="208"/>
      <c r="E22" s="208"/>
      <c r="F22" s="208"/>
      <c r="G22" s="210"/>
      <c r="H22" s="211"/>
      <c r="I22" s="211"/>
      <c r="J22" s="215"/>
      <c r="K22" s="211"/>
      <c r="L22" s="215"/>
    </row>
    <row r="23" spans="1:17" ht="36.75" customHeight="1" x14ac:dyDescent="0.2">
      <c r="B23" s="208"/>
      <c r="C23" s="209"/>
      <c r="D23" s="208"/>
      <c r="E23" s="208"/>
      <c r="F23" s="208"/>
      <c r="G23" s="210"/>
      <c r="H23" s="211"/>
      <c r="I23" s="211"/>
      <c r="J23" s="215"/>
      <c r="K23" s="211"/>
      <c r="L23" s="215"/>
    </row>
    <row r="24" spans="1:17" s="220" customFormat="1" ht="24.75" customHeight="1" x14ac:dyDescent="0.2">
      <c r="A24" s="216"/>
      <c r="B24" s="208"/>
      <c r="C24" s="217"/>
      <c r="D24" s="208"/>
      <c r="E24" s="208"/>
      <c r="F24" s="208"/>
      <c r="G24" s="218"/>
      <c r="H24" s="211"/>
      <c r="I24" s="211"/>
      <c r="J24" s="219"/>
      <c r="K24" s="211"/>
      <c r="L24" s="219"/>
      <c r="M24" s="216"/>
      <c r="N24" s="216"/>
      <c r="O24" s="216"/>
      <c r="P24" s="216"/>
      <c r="Q24" s="216"/>
    </row>
    <row r="25" spans="1:17" ht="25.5" customHeight="1" x14ac:dyDescent="0.2">
      <c r="B25" s="208"/>
      <c r="C25" s="209"/>
      <c r="D25" s="208"/>
      <c r="E25" s="208"/>
      <c r="F25" s="208"/>
      <c r="G25" s="210"/>
      <c r="H25" s="211"/>
      <c r="I25" s="211"/>
      <c r="J25" s="215"/>
      <c r="K25" s="211"/>
      <c r="L25" s="215"/>
    </row>
    <row r="26" spans="1:17" ht="20.25" customHeight="1" x14ac:dyDescent="0.2">
      <c r="B26" s="208"/>
      <c r="C26" s="209"/>
      <c r="D26" s="208"/>
      <c r="E26" s="208"/>
      <c r="F26" s="213"/>
      <c r="G26" s="210"/>
      <c r="H26" s="211"/>
      <c r="I26" s="211"/>
      <c r="J26" s="215"/>
      <c r="K26" s="211"/>
      <c r="L26" s="215"/>
    </row>
    <row r="27" spans="1:17" ht="25.5" customHeight="1" x14ac:dyDescent="0.2">
      <c r="B27" s="208"/>
      <c r="C27" s="209"/>
      <c r="D27" s="208"/>
      <c r="E27" s="208"/>
      <c r="F27" s="208"/>
      <c r="G27" s="210"/>
      <c r="H27" s="211"/>
      <c r="I27" s="211"/>
      <c r="J27" s="215"/>
      <c r="K27" s="211"/>
      <c r="L27" s="215"/>
    </row>
    <row r="28" spans="1:17" ht="14.25" customHeight="1" x14ac:dyDescent="0.2">
      <c r="B28" s="208"/>
      <c r="C28" s="209"/>
      <c r="D28" s="208"/>
      <c r="E28" s="208"/>
      <c r="F28" s="208"/>
      <c r="G28" s="210"/>
      <c r="H28" s="211"/>
      <c r="I28" s="211"/>
      <c r="J28" s="215"/>
      <c r="K28" s="211"/>
      <c r="L28" s="215"/>
    </row>
    <row r="29" spans="1:17" ht="16.5" customHeight="1" x14ac:dyDescent="0.2">
      <c r="B29" s="208"/>
      <c r="C29" s="209"/>
      <c r="D29" s="208"/>
      <c r="E29" s="208"/>
      <c r="F29" s="208"/>
      <c r="G29" s="210"/>
      <c r="H29" s="211"/>
      <c r="I29" s="211"/>
      <c r="J29" s="215"/>
      <c r="K29" s="211"/>
      <c r="L29" s="215"/>
    </row>
    <row r="30" spans="1:17" ht="15.75" customHeight="1" x14ac:dyDescent="0.2">
      <c r="B30" s="208"/>
      <c r="C30" s="209"/>
      <c r="D30" s="208"/>
      <c r="E30" s="208"/>
      <c r="F30" s="208"/>
      <c r="G30" s="210"/>
      <c r="H30" s="211"/>
      <c r="I30" s="211"/>
      <c r="J30" s="215"/>
      <c r="K30" s="211"/>
      <c r="L30" s="215"/>
    </row>
    <row r="31" spans="1:17" ht="18" customHeight="1" x14ac:dyDescent="0.2">
      <c r="B31" s="208"/>
      <c r="C31" s="209"/>
      <c r="D31" s="208"/>
      <c r="E31" s="208"/>
      <c r="F31" s="208"/>
      <c r="G31" s="210"/>
      <c r="H31" s="211"/>
      <c r="I31" s="211"/>
      <c r="J31" s="215"/>
      <c r="K31" s="211"/>
      <c r="L31" s="215"/>
    </row>
    <row r="32" spans="1:17" ht="13.5" customHeight="1" x14ac:dyDescent="0.2">
      <c r="B32" s="208"/>
      <c r="C32" s="209"/>
      <c r="D32" s="208"/>
      <c r="E32" s="208"/>
      <c r="F32" s="208"/>
      <c r="G32" s="210"/>
      <c r="H32" s="211"/>
      <c r="I32" s="211"/>
      <c r="J32" s="215"/>
      <c r="K32" s="211"/>
      <c r="L32" s="215"/>
    </row>
    <row r="33" spans="2:12" s="190" customFormat="1" ht="15.75" customHeight="1" x14ac:dyDescent="0.2">
      <c r="B33" s="221"/>
      <c r="C33" s="209"/>
      <c r="D33" s="221"/>
      <c r="E33" s="208"/>
      <c r="F33" s="208"/>
      <c r="G33" s="210"/>
      <c r="H33" s="211"/>
      <c r="I33" s="211"/>
      <c r="J33" s="215"/>
      <c r="K33" s="222"/>
      <c r="L33" s="223"/>
    </row>
    <row r="34" spans="2:12" s="190" customFormat="1" ht="17.25" customHeight="1" x14ac:dyDescent="0.2">
      <c r="B34" s="221"/>
      <c r="C34" s="209"/>
      <c r="D34" s="221"/>
      <c r="E34" s="208"/>
      <c r="F34" s="208"/>
      <c r="G34" s="210"/>
      <c r="H34" s="211"/>
      <c r="I34" s="211"/>
      <c r="J34" s="215"/>
      <c r="K34" s="222"/>
      <c r="L34" s="223"/>
    </row>
    <row r="35" spans="2:12" s="190" customFormat="1" ht="17.25" customHeight="1" x14ac:dyDescent="0.2">
      <c r="B35" s="221"/>
      <c r="C35" s="207"/>
      <c r="D35" s="221"/>
      <c r="E35" s="208"/>
      <c r="F35" s="208"/>
      <c r="G35" s="210"/>
      <c r="H35" s="211"/>
      <c r="I35" s="211"/>
      <c r="J35" s="215"/>
      <c r="K35" s="193"/>
      <c r="L35" s="211"/>
    </row>
    <row r="36" spans="2:12" s="190" customFormat="1" ht="18" customHeight="1" x14ac:dyDescent="0.2">
      <c r="B36" s="22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2:12" s="190" customFormat="1" ht="16.5" customHeight="1" x14ac:dyDescent="0.2">
      <c r="B37" s="208"/>
      <c r="C37" s="209"/>
      <c r="D37" s="208"/>
      <c r="E37" s="208"/>
      <c r="F37" s="208"/>
      <c r="G37" s="210"/>
      <c r="H37" s="211"/>
      <c r="I37" s="211"/>
      <c r="J37" s="215"/>
      <c r="K37" s="211"/>
      <c r="L37" s="215"/>
    </row>
    <row r="38" spans="2:12" s="190" customFormat="1" ht="15" customHeight="1" x14ac:dyDescent="0.2">
      <c r="B38" s="208"/>
      <c r="C38" s="209"/>
      <c r="D38" s="208"/>
      <c r="E38" s="208"/>
      <c r="F38" s="208"/>
      <c r="G38" s="210"/>
      <c r="H38" s="211"/>
      <c r="I38" s="211"/>
      <c r="J38" s="215"/>
      <c r="K38" s="211"/>
      <c r="L38" s="215"/>
    </row>
    <row r="39" spans="2:12" s="190" customFormat="1" ht="42" customHeight="1" x14ac:dyDescent="0.2">
      <c r="B39" s="208"/>
      <c r="C39" s="209"/>
      <c r="D39" s="208"/>
      <c r="E39" s="210"/>
      <c r="F39" s="210"/>
      <c r="G39" s="210"/>
      <c r="H39" s="211"/>
      <c r="I39" s="211"/>
      <c r="J39" s="215"/>
      <c r="K39" s="211"/>
      <c r="L39" s="215"/>
    </row>
    <row r="40" spans="2:12" s="190" customFormat="1" ht="40.5" customHeight="1" x14ac:dyDescent="0.2">
      <c r="B40" s="208"/>
      <c r="C40" s="209"/>
      <c r="D40" s="208"/>
      <c r="E40" s="210"/>
      <c r="F40" s="210"/>
      <c r="G40" s="210"/>
      <c r="H40" s="211"/>
      <c r="I40" s="211"/>
      <c r="J40" s="224"/>
      <c r="K40" s="211"/>
      <c r="L40" s="215"/>
    </row>
    <row r="41" spans="2:12" s="190" customFormat="1" ht="37.5" customHeight="1" x14ac:dyDescent="0.2">
      <c r="B41" s="208"/>
      <c r="C41" s="209"/>
      <c r="D41" s="208"/>
      <c r="E41" s="210"/>
      <c r="F41" s="210"/>
      <c r="G41" s="210"/>
      <c r="H41" s="211"/>
      <c r="I41" s="211"/>
      <c r="J41" s="224"/>
      <c r="K41" s="211"/>
      <c r="L41" s="215"/>
    </row>
    <row r="42" spans="2:12" s="190" customFormat="1" ht="39" customHeight="1" x14ac:dyDescent="0.2">
      <c r="B42" s="208"/>
      <c r="C42" s="185"/>
      <c r="D42" s="208"/>
      <c r="E42" s="210"/>
      <c r="F42" s="210"/>
      <c r="G42" s="210"/>
      <c r="H42" s="211"/>
      <c r="I42" s="211"/>
      <c r="J42" s="211"/>
      <c r="K42" s="211"/>
      <c r="L42" s="212"/>
    </row>
    <row r="43" spans="2:12" s="190" customFormat="1" ht="33.75" customHeight="1" x14ac:dyDescent="0.2">
      <c r="B43" s="208"/>
      <c r="C43" s="209"/>
      <c r="D43" s="208"/>
      <c r="E43" s="210"/>
      <c r="F43" s="210"/>
      <c r="G43" s="210"/>
      <c r="H43" s="211"/>
      <c r="I43" s="211"/>
      <c r="J43" s="211"/>
      <c r="K43" s="211"/>
      <c r="L43" s="212"/>
    </row>
    <row r="44" spans="2:12" s="190" customFormat="1" ht="29.25" customHeight="1" x14ac:dyDescent="0.2">
      <c r="B44" s="208"/>
      <c r="C44" s="209"/>
      <c r="D44" s="208"/>
      <c r="E44" s="210"/>
      <c r="F44" s="210"/>
      <c r="G44" s="210"/>
      <c r="H44" s="211"/>
      <c r="I44" s="211"/>
      <c r="J44" s="211"/>
      <c r="K44" s="211"/>
      <c r="L44" s="212"/>
    </row>
    <row r="45" spans="2:12" s="190" customFormat="1" ht="29.25" customHeight="1" x14ac:dyDescent="0.2">
      <c r="B45" s="208"/>
      <c r="C45" s="209"/>
      <c r="D45" s="208"/>
      <c r="E45" s="210"/>
      <c r="F45" s="210"/>
      <c r="G45" s="210"/>
      <c r="H45" s="211"/>
      <c r="I45" s="211"/>
      <c r="J45" s="211"/>
      <c r="K45" s="211"/>
      <c r="L45" s="212"/>
    </row>
    <row r="46" spans="2:12" s="190" customFormat="1" ht="18" customHeight="1" x14ac:dyDescent="0.2">
      <c r="B46" s="208"/>
      <c r="C46" s="209"/>
      <c r="D46" s="208"/>
      <c r="E46" s="210"/>
      <c r="F46" s="210"/>
      <c r="G46" s="210"/>
      <c r="H46" s="211"/>
      <c r="I46" s="211"/>
      <c r="J46" s="211"/>
      <c r="K46" s="211"/>
      <c r="L46" s="212"/>
    </row>
    <row r="47" spans="2:12" s="190" customFormat="1" ht="14.25" customHeight="1" x14ac:dyDescent="0.2">
      <c r="B47" s="208"/>
      <c r="C47" s="209"/>
      <c r="D47" s="208"/>
      <c r="E47" s="210"/>
      <c r="F47" s="210"/>
      <c r="G47" s="210"/>
      <c r="H47" s="211"/>
      <c r="I47" s="211"/>
      <c r="J47" s="211"/>
      <c r="K47" s="211"/>
      <c r="L47" s="212"/>
    </row>
    <row r="48" spans="2:12" s="190" customFormat="1" ht="39" customHeight="1" x14ac:dyDescent="0.2">
      <c r="B48" s="208"/>
      <c r="C48" s="209"/>
      <c r="D48" s="208"/>
      <c r="E48" s="210"/>
      <c r="F48" s="210"/>
      <c r="G48" s="210"/>
      <c r="H48" s="211"/>
      <c r="I48" s="211"/>
      <c r="J48" s="211"/>
      <c r="K48" s="211"/>
      <c r="L48" s="212"/>
    </row>
    <row r="49" spans="2:12" s="190" customFormat="1" ht="16.5" customHeight="1" x14ac:dyDescent="0.2">
      <c r="B49" s="208"/>
      <c r="C49" s="209"/>
      <c r="D49" s="208"/>
      <c r="E49" s="210"/>
      <c r="F49" s="210"/>
      <c r="G49" s="210"/>
      <c r="H49" s="211"/>
      <c r="I49" s="211"/>
      <c r="J49" s="211"/>
      <c r="K49" s="211"/>
      <c r="L49" s="212"/>
    </row>
    <row r="50" spans="2:12" s="190" customFormat="1" ht="20.25" customHeight="1" x14ac:dyDescent="0.2">
      <c r="B50" s="221"/>
      <c r="C50" s="209"/>
      <c r="D50" s="221"/>
      <c r="E50" s="225"/>
      <c r="F50" s="225"/>
      <c r="G50" s="210"/>
      <c r="H50" s="211"/>
      <c r="I50" s="211"/>
      <c r="J50" s="211"/>
      <c r="K50" s="222"/>
      <c r="L50" s="223"/>
    </row>
    <row r="51" spans="2:12" s="190" customFormat="1" ht="17.25" customHeight="1" x14ac:dyDescent="0.2">
      <c r="B51" s="221"/>
      <c r="C51" s="207"/>
      <c r="D51" s="221"/>
      <c r="E51" s="208"/>
      <c r="F51" s="208"/>
      <c r="G51" s="210"/>
      <c r="H51" s="211"/>
      <c r="I51" s="211"/>
      <c r="J51" s="215"/>
      <c r="K51" s="193"/>
      <c r="L51" s="211"/>
    </row>
    <row r="52" spans="2:12" s="190" customFormat="1" ht="18" customHeight="1" x14ac:dyDescent="0.2">
      <c r="B52" s="22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2:12" s="190" customFormat="1" ht="23.25" customHeight="1" x14ac:dyDescent="0.2">
      <c r="B53" s="208"/>
      <c r="C53" s="209"/>
      <c r="D53" s="208"/>
      <c r="E53" s="210"/>
      <c r="F53" s="210"/>
      <c r="G53" s="208"/>
      <c r="H53" s="224"/>
      <c r="I53" s="211"/>
      <c r="J53" s="224"/>
      <c r="K53" s="211"/>
      <c r="L53" s="215"/>
    </row>
    <row r="54" spans="2:12" s="190" customFormat="1" ht="26.25" customHeight="1" x14ac:dyDescent="0.2">
      <c r="B54" s="208"/>
      <c r="C54" s="209"/>
      <c r="D54" s="208"/>
      <c r="E54" s="210"/>
      <c r="F54" s="210"/>
      <c r="G54" s="208"/>
      <c r="H54" s="224"/>
      <c r="I54" s="211"/>
      <c r="J54" s="224"/>
      <c r="K54" s="211"/>
      <c r="L54" s="215"/>
    </row>
    <row r="55" spans="2:12" s="190" customFormat="1" ht="26.25" customHeight="1" x14ac:dyDescent="0.2">
      <c r="B55" s="208"/>
      <c r="C55" s="209"/>
      <c r="D55" s="208"/>
      <c r="E55" s="210"/>
      <c r="F55" s="210"/>
      <c r="G55" s="208"/>
      <c r="H55" s="224"/>
      <c r="I55" s="224"/>
      <c r="J55" s="224"/>
      <c r="K55" s="211"/>
      <c r="L55" s="215"/>
    </row>
    <row r="56" spans="2:12" s="190" customFormat="1" ht="26.25" customHeight="1" x14ac:dyDescent="0.2">
      <c r="B56" s="208"/>
      <c r="C56" s="209"/>
      <c r="D56" s="208"/>
      <c r="E56" s="210"/>
      <c r="F56" s="210"/>
      <c r="G56" s="208"/>
      <c r="H56" s="224"/>
      <c r="I56" s="224"/>
      <c r="J56" s="224"/>
      <c r="K56" s="211"/>
      <c r="L56" s="215"/>
    </row>
    <row r="57" spans="2:12" s="190" customFormat="1" ht="26.25" customHeight="1" x14ac:dyDescent="0.2">
      <c r="B57" s="208"/>
      <c r="C57" s="209"/>
      <c r="D57" s="208"/>
      <c r="E57" s="210"/>
      <c r="F57" s="210"/>
      <c r="G57" s="208"/>
      <c r="H57" s="224"/>
      <c r="I57" s="224"/>
      <c r="J57" s="224"/>
      <c r="K57" s="211"/>
      <c r="L57" s="215"/>
    </row>
    <row r="58" spans="2:12" s="190" customFormat="1" ht="28.5" customHeight="1" x14ac:dyDescent="0.2">
      <c r="B58" s="208"/>
      <c r="C58" s="209"/>
      <c r="D58" s="208"/>
      <c r="E58" s="210"/>
      <c r="F58" s="210"/>
      <c r="G58" s="210"/>
      <c r="H58" s="226"/>
      <c r="I58" s="226"/>
      <c r="J58" s="211"/>
      <c r="K58" s="211"/>
      <c r="L58" s="212"/>
    </row>
    <row r="59" spans="2:12" s="190" customFormat="1" ht="24.75" customHeight="1" x14ac:dyDescent="0.2">
      <c r="B59" s="208"/>
      <c r="C59" s="209"/>
      <c r="D59" s="208"/>
      <c r="E59" s="208"/>
      <c r="F59" s="208"/>
      <c r="G59" s="210"/>
      <c r="H59" s="211"/>
      <c r="I59" s="211"/>
      <c r="J59" s="215"/>
      <c r="K59" s="211"/>
      <c r="L59" s="215"/>
    </row>
    <row r="60" spans="2:12" s="190" customFormat="1" ht="28.5" customHeight="1" x14ac:dyDescent="0.2">
      <c r="B60" s="208"/>
      <c r="C60" s="209"/>
      <c r="D60" s="208"/>
      <c r="E60" s="210"/>
      <c r="F60" s="210"/>
      <c r="G60" s="208"/>
      <c r="H60" s="211"/>
      <c r="I60" s="211"/>
      <c r="J60" s="211"/>
      <c r="K60" s="211"/>
      <c r="L60" s="212"/>
    </row>
    <row r="61" spans="2:12" s="190" customFormat="1" ht="28.5" customHeight="1" x14ac:dyDescent="0.2">
      <c r="B61" s="208"/>
      <c r="C61" s="209"/>
      <c r="D61" s="208"/>
      <c r="E61" s="210"/>
      <c r="F61" s="210"/>
      <c r="G61" s="208"/>
      <c r="H61" s="211"/>
      <c r="I61" s="211"/>
      <c r="J61" s="211"/>
      <c r="K61" s="211"/>
      <c r="L61" s="212"/>
    </row>
    <row r="62" spans="2:12" s="190" customFormat="1" ht="15.75" customHeight="1" x14ac:dyDescent="0.2">
      <c r="B62" s="208"/>
      <c r="C62" s="185"/>
      <c r="D62" s="208"/>
      <c r="E62" s="210"/>
      <c r="F62" s="210"/>
      <c r="G62" s="210"/>
      <c r="H62" s="211"/>
      <c r="I62" s="211"/>
      <c r="J62" s="186"/>
      <c r="K62" s="211"/>
      <c r="L62" s="212"/>
    </row>
    <row r="63" spans="2:12" s="190" customFormat="1" ht="15.75" customHeight="1" x14ac:dyDescent="0.2">
      <c r="B63" s="208"/>
      <c r="C63" s="185"/>
      <c r="D63" s="208"/>
      <c r="E63" s="210"/>
      <c r="F63" s="210"/>
      <c r="G63" s="210"/>
      <c r="H63" s="211"/>
      <c r="I63" s="211"/>
      <c r="J63" s="186"/>
      <c r="K63" s="211"/>
      <c r="L63" s="212"/>
    </row>
    <row r="64" spans="2:12" s="190" customFormat="1" ht="18" customHeight="1" x14ac:dyDescent="0.2">
      <c r="B64" s="208"/>
      <c r="C64" s="185"/>
      <c r="D64" s="208"/>
      <c r="E64" s="210"/>
      <c r="F64" s="187"/>
      <c r="G64" s="210"/>
      <c r="H64" s="211"/>
      <c r="I64" s="211"/>
      <c r="J64" s="186"/>
      <c r="K64" s="211"/>
      <c r="L64" s="212"/>
    </row>
    <row r="65" spans="2:15" s="190" customFormat="1" ht="18" customHeight="1" x14ac:dyDescent="0.2">
      <c r="B65" s="208"/>
      <c r="C65" s="188"/>
      <c r="D65" s="208"/>
      <c r="E65" s="210"/>
      <c r="F65" s="189"/>
      <c r="G65" s="210"/>
      <c r="H65" s="211"/>
      <c r="I65" s="211"/>
      <c r="J65" s="186"/>
      <c r="K65" s="211"/>
      <c r="L65" s="212"/>
    </row>
    <row r="66" spans="2:15" s="190" customFormat="1" ht="25.5" customHeight="1" x14ac:dyDescent="0.2">
      <c r="B66" s="208"/>
      <c r="C66" s="185"/>
      <c r="D66" s="208"/>
      <c r="E66" s="210"/>
      <c r="F66" s="189"/>
      <c r="G66" s="210"/>
      <c r="H66" s="211"/>
      <c r="I66" s="211"/>
      <c r="J66" s="211"/>
      <c r="K66" s="211"/>
      <c r="L66" s="212"/>
    </row>
    <row r="67" spans="2:15" s="190" customFormat="1" ht="14.25" customHeight="1" x14ac:dyDescent="0.2">
      <c r="B67" s="208"/>
      <c r="C67" s="209"/>
      <c r="D67" s="208"/>
      <c r="E67" s="210"/>
      <c r="F67" s="210"/>
      <c r="G67" s="210"/>
      <c r="H67" s="211"/>
      <c r="I67" s="211"/>
      <c r="J67" s="211"/>
      <c r="K67" s="211"/>
      <c r="L67" s="212"/>
    </row>
    <row r="68" spans="2:15" s="190" customFormat="1" ht="20.25" customHeight="1" x14ac:dyDescent="0.2">
      <c r="B68" s="221"/>
      <c r="C68" s="209"/>
      <c r="D68" s="221"/>
      <c r="E68" s="225"/>
      <c r="F68" s="225"/>
      <c r="G68" s="210"/>
      <c r="H68" s="211"/>
      <c r="I68" s="211"/>
      <c r="J68" s="211"/>
      <c r="K68" s="222"/>
      <c r="L68" s="223"/>
    </row>
    <row r="69" spans="2:15" s="190" customFormat="1" ht="17.25" customHeight="1" x14ac:dyDescent="0.2">
      <c r="B69" s="210"/>
      <c r="D69" s="210"/>
      <c r="E69" s="210"/>
      <c r="F69" s="210"/>
      <c r="G69" s="210"/>
      <c r="H69" s="211"/>
      <c r="I69" s="211"/>
      <c r="J69" s="211"/>
      <c r="K69" s="211"/>
      <c r="L69" s="227"/>
    </row>
    <row r="70" spans="2:15" s="190" customFormat="1" ht="17.25" customHeight="1" x14ac:dyDescent="0.2">
      <c r="B70" s="210"/>
      <c r="C70" s="209"/>
      <c r="D70" s="210"/>
      <c r="E70" s="210"/>
      <c r="F70" s="210"/>
      <c r="G70" s="210"/>
      <c r="H70" s="211"/>
      <c r="I70" s="211"/>
      <c r="J70" s="228"/>
      <c r="K70" s="228"/>
      <c r="L70" s="215"/>
    </row>
    <row r="71" spans="2:15" s="190" customFormat="1" ht="17.25" customHeight="1" x14ac:dyDescent="0.2">
      <c r="B71" s="210"/>
      <c r="D71" s="210"/>
      <c r="E71" s="210"/>
      <c r="F71" s="210"/>
      <c r="G71" s="210"/>
      <c r="H71" s="211"/>
      <c r="I71" s="211"/>
      <c r="J71" s="228"/>
      <c r="K71" s="228"/>
      <c r="L71" s="215"/>
    </row>
    <row r="72" spans="2:15" s="190" customFormat="1" ht="17.25" customHeight="1" x14ac:dyDescent="0.2">
      <c r="B72" s="210"/>
      <c r="D72" s="210"/>
      <c r="E72" s="210"/>
      <c r="F72" s="210"/>
      <c r="G72" s="210"/>
      <c r="H72" s="211"/>
      <c r="I72" s="211"/>
      <c r="J72" s="229"/>
      <c r="K72" s="229"/>
      <c r="L72" s="230"/>
      <c r="O72" s="215"/>
    </row>
    <row r="73" spans="2:15" s="190" customFormat="1" ht="17.25" customHeight="1" x14ac:dyDescent="0.2">
      <c r="B73" s="210"/>
      <c r="D73" s="210"/>
      <c r="E73" s="210"/>
      <c r="F73" s="210"/>
      <c r="G73" s="210"/>
      <c r="H73" s="211"/>
      <c r="I73" s="211"/>
      <c r="J73" s="215"/>
      <c r="K73" s="231"/>
      <c r="L73" s="215"/>
      <c r="O73" s="215"/>
    </row>
    <row r="74" spans="2:15" s="190" customFormat="1" ht="17.25" customHeight="1" x14ac:dyDescent="0.2">
      <c r="B74" s="210"/>
      <c r="D74" s="210"/>
      <c r="E74" s="210"/>
      <c r="F74" s="210"/>
      <c r="G74" s="210"/>
      <c r="H74" s="211"/>
      <c r="I74" s="211"/>
      <c r="J74" s="229"/>
      <c r="K74" s="229"/>
      <c r="L74" s="230"/>
    </row>
    <row r="75" spans="2:15" s="190" customFormat="1" ht="17.25" customHeight="1" x14ac:dyDescent="0.2">
      <c r="B75" s="210"/>
      <c r="D75" s="210"/>
      <c r="E75" s="210"/>
      <c r="F75" s="210"/>
      <c r="G75" s="210"/>
      <c r="H75" s="211"/>
      <c r="I75" s="211"/>
      <c r="J75" s="292"/>
      <c r="K75" s="293"/>
      <c r="L75" s="232"/>
    </row>
    <row r="76" spans="2:15" s="190" customFormat="1" ht="31.5" customHeight="1" x14ac:dyDescent="0.2">
      <c r="B76" s="210"/>
      <c r="D76" s="210"/>
      <c r="E76" s="210"/>
      <c r="F76" s="210"/>
      <c r="G76" s="210"/>
      <c r="H76" s="211"/>
      <c r="I76" s="211"/>
      <c r="J76" s="294"/>
      <c r="K76" s="294"/>
      <c r="L76" s="232"/>
    </row>
    <row r="77" spans="2:15" s="190" customFormat="1" ht="17.25" customHeight="1" x14ac:dyDescent="0.2">
      <c r="B77" s="210"/>
      <c r="D77" s="210"/>
      <c r="E77" s="210"/>
      <c r="F77" s="210"/>
      <c r="G77" s="210"/>
      <c r="H77" s="211"/>
      <c r="I77" s="211"/>
      <c r="J77" s="228"/>
      <c r="K77" s="228"/>
      <c r="L77" s="215"/>
    </row>
    <row r="78" spans="2:15" s="190" customFormat="1" ht="17.25" customHeight="1" x14ac:dyDescent="0.2">
      <c r="B78" s="210"/>
      <c r="D78" s="210"/>
      <c r="E78" s="210"/>
      <c r="F78" s="210"/>
      <c r="G78" s="210"/>
      <c r="H78" s="211"/>
      <c r="I78" s="211"/>
      <c r="J78" s="229"/>
      <c r="K78" s="229"/>
      <c r="L78" s="230"/>
      <c r="M78" s="233"/>
    </row>
    <row r="79" spans="2:15" s="190" customFormat="1" ht="17.25" customHeight="1" x14ac:dyDescent="0.2">
      <c r="B79" s="210"/>
      <c r="D79" s="210"/>
      <c r="E79" s="210"/>
      <c r="F79" s="210"/>
      <c r="G79" s="210"/>
      <c r="H79" s="211"/>
      <c r="I79" s="211"/>
      <c r="J79" s="228"/>
      <c r="K79" s="234"/>
      <c r="L79" s="215"/>
      <c r="N79" s="215"/>
    </row>
    <row r="80" spans="2:15" s="190" customFormat="1" ht="17.25" customHeight="1" x14ac:dyDescent="0.2">
      <c r="C80" s="210"/>
      <c r="E80" s="210"/>
      <c r="F80" s="210"/>
      <c r="G80" s="235"/>
      <c r="H80" s="211"/>
      <c r="I80" s="211"/>
      <c r="J80" s="229"/>
      <c r="K80" s="229"/>
      <c r="L80" s="230"/>
      <c r="N80" s="215"/>
    </row>
    <row r="82" spans="1:17" ht="24" customHeight="1" x14ac:dyDescent="0.2">
      <c r="C82" s="236"/>
      <c r="H82" s="299"/>
      <c r="I82" s="299"/>
      <c r="J82" s="299"/>
      <c r="K82" s="193"/>
      <c r="L82" s="193"/>
      <c r="M82" s="193"/>
    </row>
    <row r="83" spans="1:17" ht="15.75" x14ac:dyDescent="0.25">
      <c r="C83" s="300"/>
      <c r="D83" s="300"/>
      <c r="E83" s="300"/>
      <c r="F83" s="300"/>
      <c r="G83" s="300"/>
      <c r="H83" s="300"/>
      <c r="I83" s="300"/>
      <c r="J83" s="300"/>
      <c r="K83" s="300"/>
      <c r="L83" s="300"/>
    </row>
    <row r="84" spans="1:17" ht="25.5" customHeight="1" x14ac:dyDescent="0.2">
      <c r="C84" s="236"/>
      <c r="H84" s="299"/>
      <c r="I84" s="299"/>
      <c r="J84" s="299"/>
    </row>
    <row r="85" spans="1:17" s="240" customFormat="1" ht="15.75" x14ac:dyDescent="0.25">
      <c r="A85" s="238"/>
      <c r="B85" s="238"/>
      <c r="C85" s="237"/>
      <c r="D85" s="238"/>
      <c r="E85" s="296"/>
      <c r="F85" s="296"/>
      <c r="G85" s="296"/>
      <c r="H85" s="300"/>
      <c r="I85" s="300"/>
      <c r="J85" s="300"/>
      <c r="K85" s="300"/>
      <c r="L85" s="239"/>
      <c r="M85" s="238"/>
      <c r="N85" s="238"/>
      <c r="O85" s="238"/>
      <c r="P85" s="238"/>
      <c r="Q85" s="238"/>
    </row>
    <row r="86" spans="1:17" s="240" customFormat="1" ht="16.5" customHeight="1" x14ac:dyDescent="0.2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</row>
    <row r="87" spans="1:17" s="240" customFormat="1" ht="15.75" x14ac:dyDescent="0.2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</row>
    <row r="88" spans="1:17" s="240" customFormat="1" ht="51" customHeight="1" x14ac:dyDescent="0.25">
      <c r="A88" s="238"/>
      <c r="B88" s="238"/>
      <c r="C88" s="241"/>
      <c r="D88" s="238"/>
      <c r="E88" s="295"/>
      <c r="F88" s="295"/>
      <c r="G88" s="295"/>
      <c r="H88" s="295"/>
      <c r="I88" s="295"/>
      <c r="J88" s="296"/>
      <c r="K88" s="296"/>
      <c r="L88" s="238"/>
      <c r="M88" s="238"/>
      <c r="N88" s="238"/>
      <c r="O88" s="238"/>
      <c r="P88" s="238"/>
      <c r="Q88" s="238"/>
    </row>
    <row r="89" spans="1:17" ht="14.25" x14ac:dyDescent="0.2">
      <c r="C89" s="242"/>
    </row>
    <row r="90" spans="1:17" ht="95.25" customHeight="1" x14ac:dyDescent="0.25">
      <c r="C90" s="297"/>
      <c r="D90" s="297"/>
      <c r="E90" s="297"/>
      <c r="F90" s="297"/>
      <c r="G90" s="297"/>
      <c r="H90" s="297"/>
      <c r="I90" s="297"/>
      <c r="J90" s="297"/>
      <c r="K90" s="297"/>
    </row>
    <row r="91" spans="1:17" x14ac:dyDescent="0.2">
      <c r="C91" s="243"/>
    </row>
    <row r="92" spans="1:17" ht="15" x14ac:dyDescent="0.2">
      <c r="D92" s="298"/>
      <c r="E92" s="298"/>
      <c r="F92" s="298"/>
    </row>
  </sheetData>
  <mergeCells count="31">
    <mergeCell ref="E88:G88"/>
    <mergeCell ref="H88:K88"/>
    <mergeCell ref="C90:K90"/>
    <mergeCell ref="D92:F92"/>
    <mergeCell ref="H82:J82"/>
    <mergeCell ref="C83:L83"/>
    <mergeCell ref="H84:J84"/>
    <mergeCell ref="E85:G85"/>
    <mergeCell ref="H85:K85"/>
    <mergeCell ref="C14:L14"/>
    <mergeCell ref="C36:L36"/>
    <mergeCell ref="C52:L52"/>
    <mergeCell ref="J75:K75"/>
    <mergeCell ref="J76:K76"/>
    <mergeCell ref="G10:I10"/>
    <mergeCell ref="J10:L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L11"/>
    <mergeCell ref="D1:F1"/>
    <mergeCell ref="G8:I8"/>
    <mergeCell ref="J8:L8"/>
    <mergeCell ref="G9:I9"/>
    <mergeCell ref="J9:L9"/>
  </mergeCells>
  <pageMargins left="0.30364583333333334" right="0.28125" top="0.74803149606299213" bottom="0.55000000000000004" header="0.31496062992125984" footer="0.31496062992125984"/>
  <pageSetup paperSize="9" scale="60" orientation="portrait" horizontalDpi="300" verticalDpi="300" r:id="rId1"/>
  <headerFooter alignWithMargins="0">
    <oddFooter>&amp;CΣελίδα &amp;P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15" sqref="G15"/>
    </sheetView>
  </sheetViews>
  <sheetFormatPr defaultRowHeight="12.75" x14ac:dyDescent="0.2"/>
  <cols>
    <col min="1" max="1" width="5.28515625" style="14" customWidth="1"/>
    <col min="2" max="2" width="30" customWidth="1"/>
    <col min="3" max="3" width="9.140625" style="22"/>
    <col min="4" max="4" width="10.85546875" customWidth="1"/>
    <col min="5" max="5" width="10.5703125" customWidth="1"/>
    <col min="6" max="6" width="8.85546875" customWidth="1"/>
    <col min="7" max="7" width="11.7109375" customWidth="1"/>
    <col min="8" max="8" width="11.5703125" customWidth="1"/>
    <col min="9" max="9" width="10.42578125" customWidth="1"/>
    <col min="10" max="10" width="11.7109375" customWidth="1"/>
  </cols>
  <sheetData>
    <row r="1" spans="1:10" s="22" customFormat="1" ht="23.25" customHeight="1" x14ac:dyDescent="0.2">
      <c r="A1" s="319" t="s">
        <v>134</v>
      </c>
      <c r="B1" s="316" t="s">
        <v>166</v>
      </c>
      <c r="C1" s="310" t="s">
        <v>167</v>
      </c>
      <c r="D1" s="310" t="s">
        <v>190</v>
      </c>
      <c r="E1" s="310" t="s">
        <v>168</v>
      </c>
      <c r="F1" s="310" t="s">
        <v>169</v>
      </c>
      <c r="G1" s="301" t="s">
        <v>172</v>
      </c>
      <c r="H1" s="302"/>
      <c r="I1" s="302"/>
      <c r="J1" s="303"/>
    </row>
    <row r="2" spans="1:10" x14ac:dyDescent="0.2">
      <c r="A2" s="320"/>
      <c r="B2" s="317"/>
      <c r="C2" s="311"/>
      <c r="D2" s="311"/>
      <c r="E2" s="311"/>
      <c r="F2" s="311"/>
      <c r="G2" s="304" t="s">
        <v>170</v>
      </c>
      <c r="H2" s="305"/>
      <c r="I2" s="304" t="s">
        <v>171</v>
      </c>
      <c r="J2" s="306"/>
    </row>
    <row r="3" spans="1:10" s="23" customFormat="1" ht="20.25" customHeight="1" x14ac:dyDescent="0.2">
      <c r="A3" s="321"/>
      <c r="B3" s="318"/>
      <c r="C3" s="312"/>
      <c r="D3" s="312"/>
      <c r="E3" s="312"/>
      <c r="F3" s="312"/>
      <c r="G3" s="21" t="s">
        <v>183</v>
      </c>
      <c r="H3" s="21" t="s">
        <v>184</v>
      </c>
      <c r="I3" s="21" t="s">
        <v>183</v>
      </c>
      <c r="J3" s="27" t="s">
        <v>184</v>
      </c>
    </row>
    <row r="4" spans="1:10" s="24" customFormat="1" ht="13.5" thickBot="1" x14ac:dyDescent="0.25">
      <c r="A4" s="50">
        <v>1</v>
      </c>
      <c r="B4" s="25" t="s">
        <v>173</v>
      </c>
      <c r="C4" s="28" t="s">
        <v>186</v>
      </c>
      <c r="D4" s="28"/>
      <c r="E4" s="28"/>
      <c r="F4" s="28"/>
      <c r="G4" s="307">
        <v>3.01</v>
      </c>
      <c r="H4" s="308"/>
      <c r="I4" s="307">
        <v>3.29</v>
      </c>
      <c r="J4" s="309"/>
    </row>
    <row r="5" spans="1:10" ht="89.25" x14ac:dyDescent="0.2">
      <c r="A5" s="20">
        <v>2</v>
      </c>
      <c r="B5" s="17" t="s">
        <v>24</v>
      </c>
      <c r="C5" s="29" t="s">
        <v>187</v>
      </c>
      <c r="D5" s="26" t="s">
        <v>75</v>
      </c>
      <c r="E5" s="26" t="s">
        <v>101</v>
      </c>
      <c r="F5" s="37">
        <v>6.7</v>
      </c>
      <c r="G5" s="38">
        <f>11.4+0.42</f>
        <v>11.82</v>
      </c>
      <c r="H5" s="38">
        <f>F5*G5</f>
        <v>79.19</v>
      </c>
      <c r="I5" s="38">
        <f>17.17+2.23</f>
        <v>19.399999999999999</v>
      </c>
      <c r="J5" s="39">
        <f t="shared" ref="J5:J15" si="0">I5*F5</f>
        <v>129.97999999999999</v>
      </c>
    </row>
    <row r="6" spans="1:10" ht="52.5" customHeight="1" x14ac:dyDescent="0.2">
      <c r="A6" s="20">
        <v>3</v>
      </c>
      <c r="B6" s="19" t="s">
        <v>159</v>
      </c>
      <c r="C6" s="30" t="s">
        <v>187</v>
      </c>
      <c r="D6" s="18" t="s">
        <v>79</v>
      </c>
      <c r="E6" s="18" t="s">
        <v>106</v>
      </c>
      <c r="F6" s="40">
        <v>1.55</v>
      </c>
      <c r="G6" s="41">
        <v>2.3199999999999998</v>
      </c>
      <c r="H6" s="41">
        <f t="shared" ref="H6:H19" si="1">F6*G6</f>
        <v>3.6</v>
      </c>
      <c r="I6" s="41">
        <v>3.29</v>
      </c>
      <c r="J6" s="42">
        <f t="shared" si="0"/>
        <v>5.0999999999999996</v>
      </c>
    </row>
    <row r="7" spans="1:10" ht="52.5" customHeight="1" x14ac:dyDescent="0.2">
      <c r="A7" s="50">
        <v>4</v>
      </c>
      <c r="B7" s="17" t="s">
        <v>27</v>
      </c>
      <c r="C7" s="30" t="s">
        <v>187</v>
      </c>
      <c r="D7" s="63" t="s">
        <v>77</v>
      </c>
      <c r="E7" s="63" t="s">
        <v>104</v>
      </c>
      <c r="F7" s="43">
        <v>7.36</v>
      </c>
      <c r="G7" s="41">
        <f>(G5-G6)*0.8</f>
        <v>7.6</v>
      </c>
      <c r="H7" s="41">
        <f>G7*F7</f>
        <v>55.94</v>
      </c>
      <c r="I7" s="41">
        <f>(I5-I6)*0.8</f>
        <v>12.89</v>
      </c>
      <c r="J7" s="42">
        <f>I7*F7</f>
        <v>94.87</v>
      </c>
    </row>
    <row r="8" spans="1:10" ht="52.5" customHeight="1" x14ac:dyDescent="0.2">
      <c r="A8" s="20">
        <v>5</v>
      </c>
      <c r="B8" s="17" t="s">
        <v>28</v>
      </c>
      <c r="C8" s="30" t="s">
        <v>187</v>
      </c>
      <c r="D8" s="63" t="s">
        <v>78</v>
      </c>
      <c r="E8" s="63" t="s">
        <v>105</v>
      </c>
      <c r="F8" s="43">
        <v>7.41</v>
      </c>
      <c r="G8" s="41">
        <f>(G5-G6)*0.2</f>
        <v>1.9</v>
      </c>
      <c r="H8" s="41">
        <f>G8*F8</f>
        <v>14.08</v>
      </c>
      <c r="I8" s="41">
        <f>(I5-I6)*0.2</f>
        <v>3.22</v>
      </c>
      <c r="J8" s="42">
        <f>I8*F8</f>
        <v>23.86</v>
      </c>
    </row>
    <row r="9" spans="1:10" x14ac:dyDescent="0.2">
      <c r="A9" s="20">
        <v>6</v>
      </c>
      <c r="B9" s="19" t="s">
        <v>174</v>
      </c>
      <c r="C9" s="30" t="s">
        <v>188</v>
      </c>
      <c r="D9" s="32" t="s">
        <v>66</v>
      </c>
      <c r="E9" s="32" t="s">
        <v>131</v>
      </c>
      <c r="F9" s="43">
        <v>1.75</v>
      </c>
      <c r="G9" s="41">
        <v>17.96</v>
      </c>
      <c r="H9" s="41">
        <f t="shared" si="1"/>
        <v>31.43</v>
      </c>
      <c r="I9" s="41">
        <v>24.65</v>
      </c>
      <c r="J9" s="42">
        <f t="shared" si="0"/>
        <v>43.14</v>
      </c>
    </row>
    <row r="10" spans="1:10" ht="51" customHeight="1" x14ac:dyDescent="0.2">
      <c r="A10" s="50">
        <v>7</v>
      </c>
      <c r="B10" s="19" t="s">
        <v>192</v>
      </c>
      <c r="C10" s="30" t="s">
        <v>188</v>
      </c>
      <c r="D10" s="32" t="s">
        <v>65</v>
      </c>
      <c r="E10" s="32" t="s">
        <v>130</v>
      </c>
      <c r="F10" s="43">
        <v>10.199999999999999</v>
      </c>
      <c r="G10" s="41">
        <v>2.25</v>
      </c>
      <c r="H10" s="41">
        <f t="shared" si="1"/>
        <v>22.95</v>
      </c>
      <c r="I10" s="41">
        <v>4.01</v>
      </c>
      <c r="J10" s="42">
        <f t="shared" si="0"/>
        <v>40.9</v>
      </c>
    </row>
    <row r="11" spans="1:10" ht="25.5" x14ac:dyDescent="0.2">
      <c r="A11" s="20">
        <v>8</v>
      </c>
      <c r="B11" s="19" t="s">
        <v>191</v>
      </c>
      <c r="C11" s="30" t="s">
        <v>187</v>
      </c>
      <c r="D11" s="32" t="s">
        <v>87</v>
      </c>
      <c r="E11" s="32" t="s">
        <v>115</v>
      </c>
      <c r="F11" s="43">
        <v>77</v>
      </c>
      <c r="G11" s="41">
        <v>0.38</v>
      </c>
      <c r="H11" s="41">
        <f t="shared" si="1"/>
        <v>29.26</v>
      </c>
      <c r="I11" s="44">
        <v>0.56999999999999995</v>
      </c>
      <c r="J11" s="42">
        <f t="shared" si="0"/>
        <v>43.89</v>
      </c>
    </row>
    <row r="12" spans="1:10" ht="24.75" customHeight="1" x14ac:dyDescent="0.2">
      <c r="A12" s="20">
        <v>9</v>
      </c>
      <c r="B12" s="19" t="s">
        <v>175</v>
      </c>
      <c r="C12" s="30" t="s">
        <v>187</v>
      </c>
      <c r="D12" s="32" t="s">
        <v>89</v>
      </c>
      <c r="E12" s="32" t="s">
        <v>117</v>
      </c>
      <c r="F12" s="43">
        <v>88</v>
      </c>
      <c r="G12" s="41">
        <v>4.7300000000000004</v>
      </c>
      <c r="H12" s="41">
        <f t="shared" si="1"/>
        <v>416.24</v>
      </c>
      <c r="I12" s="44">
        <v>6.85</v>
      </c>
      <c r="J12" s="42">
        <f t="shared" si="0"/>
        <v>602.79999999999995</v>
      </c>
    </row>
    <row r="13" spans="1:10" hidden="1" x14ac:dyDescent="0.2">
      <c r="A13" s="50">
        <v>10</v>
      </c>
      <c r="B13" s="19" t="s">
        <v>176</v>
      </c>
      <c r="C13" s="30" t="s">
        <v>189</v>
      </c>
      <c r="D13" s="33"/>
      <c r="E13" s="33"/>
      <c r="F13" s="41"/>
      <c r="G13" s="41">
        <v>18.91</v>
      </c>
      <c r="H13" s="41">
        <f t="shared" si="1"/>
        <v>0</v>
      </c>
      <c r="I13" s="44">
        <v>27.4</v>
      </c>
      <c r="J13" s="42">
        <f t="shared" si="0"/>
        <v>0</v>
      </c>
    </row>
    <row r="14" spans="1:10" ht="25.5" x14ac:dyDescent="0.2">
      <c r="A14" s="20">
        <v>11</v>
      </c>
      <c r="B14" s="19" t="s">
        <v>196</v>
      </c>
      <c r="C14" s="30" t="s">
        <v>187</v>
      </c>
      <c r="D14" s="32" t="s">
        <v>87</v>
      </c>
      <c r="E14" s="32" t="s">
        <v>115</v>
      </c>
      <c r="F14" s="43">
        <v>77</v>
      </c>
      <c r="G14" s="41">
        <v>0.62</v>
      </c>
      <c r="H14" s="41">
        <f t="shared" si="1"/>
        <v>47.74</v>
      </c>
      <c r="I14" s="44">
        <v>1.45</v>
      </c>
      <c r="J14" s="42">
        <f t="shared" si="0"/>
        <v>111.65</v>
      </c>
    </row>
    <row r="15" spans="1:10" ht="38.25" x14ac:dyDescent="0.2">
      <c r="A15" s="20">
        <v>12</v>
      </c>
      <c r="B15" s="19" t="s">
        <v>185</v>
      </c>
      <c r="C15" s="30" t="s">
        <v>189</v>
      </c>
      <c r="D15" s="32" t="s">
        <v>63</v>
      </c>
      <c r="E15" s="32" t="s">
        <v>128</v>
      </c>
      <c r="F15" s="43">
        <v>1.1499999999999999</v>
      </c>
      <c r="G15" s="41">
        <f>104.85+(2*3.14*1.5)*(3)*(3.14*0.012*0.012/4)*(1/0.14)*2*2*7851</f>
        <v>821.42</v>
      </c>
      <c r="H15" s="41">
        <f t="shared" si="1"/>
        <v>944.63</v>
      </c>
      <c r="I15" s="41">
        <f>187.85+(2*3.14*1.5)*(3.29)*(3.14*0.012*0.012/4)*(1/0.14)*2*2*7851</f>
        <v>973.69</v>
      </c>
      <c r="J15" s="42">
        <f t="shared" si="0"/>
        <v>1119.74</v>
      </c>
    </row>
    <row r="16" spans="1:10" x14ac:dyDescent="0.2">
      <c r="A16" s="50"/>
      <c r="B16" s="19" t="s">
        <v>177</v>
      </c>
      <c r="C16" s="30" t="s">
        <v>189</v>
      </c>
      <c r="D16" s="33"/>
      <c r="E16" s="33"/>
      <c r="F16" s="41"/>
      <c r="G16" s="41"/>
      <c r="H16" s="41">
        <f t="shared" si="1"/>
        <v>0</v>
      </c>
      <c r="I16" s="41"/>
      <c r="J16" s="42">
        <f>I16*G16</f>
        <v>0</v>
      </c>
    </row>
    <row r="17" spans="1:10" ht="28.5" customHeight="1" x14ac:dyDescent="0.2">
      <c r="A17" s="20">
        <v>13</v>
      </c>
      <c r="B17" s="35" t="s">
        <v>142</v>
      </c>
      <c r="C17" s="30" t="s">
        <v>189</v>
      </c>
      <c r="D17" s="32" t="s">
        <v>143</v>
      </c>
      <c r="E17" s="32" t="s">
        <v>126</v>
      </c>
      <c r="F17" s="45">
        <v>2.9</v>
      </c>
      <c r="G17" s="41">
        <f>19+250</f>
        <v>269</v>
      </c>
      <c r="H17" s="41">
        <f t="shared" si="1"/>
        <v>780.1</v>
      </c>
      <c r="I17" s="41">
        <f>250+19</f>
        <v>269</v>
      </c>
      <c r="J17" s="42">
        <f>I17*F17</f>
        <v>780.1</v>
      </c>
    </row>
    <row r="18" spans="1:10" ht="21" customHeight="1" x14ac:dyDescent="0.2">
      <c r="A18" s="20">
        <v>14</v>
      </c>
      <c r="B18" s="36" t="s">
        <v>33</v>
      </c>
      <c r="C18" s="30" t="s">
        <v>189</v>
      </c>
      <c r="D18" s="32" t="s">
        <v>62</v>
      </c>
      <c r="E18" s="32" t="s">
        <v>127</v>
      </c>
      <c r="F18" s="43">
        <v>2.2999999999999998</v>
      </c>
      <c r="G18" s="41">
        <v>28</v>
      </c>
      <c r="H18" s="41">
        <f t="shared" si="1"/>
        <v>64.400000000000006</v>
      </c>
      <c r="I18" s="41">
        <v>28</v>
      </c>
      <c r="J18" s="42">
        <f>I18*F18</f>
        <v>64.400000000000006</v>
      </c>
    </row>
    <row r="19" spans="1:10" ht="26.25" thickBot="1" x14ac:dyDescent="0.25">
      <c r="A19" s="50">
        <v>15</v>
      </c>
      <c r="B19" s="36" t="s">
        <v>8</v>
      </c>
      <c r="C19" s="31" t="s">
        <v>188</v>
      </c>
      <c r="D19" s="34" t="s">
        <v>81</v>
      </c>
      <c r="E19" s="34" t="s">
        <v>108</v>
      </c>
      <c r="F19" s="46">
        <v>18.5</v>
      </c>
      <c r="G19" s="47">
        <v>3.8</v>
      </c>
      <c r="H19" s="47">
        <f t="shared" si="1"/>
        <v>70.3</v>
      </c>
      <c r="I19" s="47">
        <v>5.72</v>
      </c>
      <c r="J19" s="48">
        <f>I19*F19</f>
        <v>105.82</v>
      </c>
    </row>
    <row r="20" spans="1:10" ht="13.5" hidden="1" thickBot="1" x14ac:dyDescent="0.25">
      <c r="A20" s="20">
        <v>17</v>
      </c>
      <c r="B20" s="16" t="s">
        <v>178</v>
      </c>
      <c r="C20" s="31" t="s">
        <v>187</v>
      </c>
      <c r="D20" s="15"/>
      <c r="G20">
        <v>7.6</v>
      </c>
      <c r="I20">
        <v>11.45</v>
      </c>
    </row>
    <row r="21" spans="1:10" ht="13.5" hidden="1" thickBot="1" x14ac:dyDescent="0.25">
      <c r="A21" s="50">
        <v>18</v>
      </c>
      <c r="B21" s="16" t="s">
        <v>179</v>
      </c>
      <c r="C21" s="31" t="s">
        <v>242</v>
      </c>
      <c r="D21" s="15"/>
      <c r="G21">
        <v>7.6</v>
      </c>
      <c r="I21">
        <v>11.45</v>
      </c>
    </row>
    <row r="22" spans="1:10" ht="13.5" hidden="1" thickBot="1" x14ac:dyDescent="0.25">
      <c r="A22" s="20">
        <v>19</v>
      </c>
      <c r="B22" s="16" t="s">
        <v>180</v>
      </c>
      <c r="C22" s="31" t="s">
        <v>243</v>
      </c>
      <c r="D22" s="15"/>
      <c r="G22">
        <v>3.8</v>
      </c>
      <c r="I22">
        <v>5.72</v>
      </c>
    </row>
    <row r="23" spans="1:10" ht="26.25" hidden="1" thickBot="1" x14ac:dyDescent="0.25">
      <c r="A23" s="20">
        <v>20</v>
      </c>
      <c r="B23" s="16" t="s">
        <v>181</v>
      </c>
      <c r="C23" s="31" t="s">
        <v>244</v>
      </c>
      <c r="D23" s="15"/>
      <c r="G23">
        <v>3.8</v>
      </c>
      <c r="I23">
        <v>5.72</v>
      </c>
    </row>
    <row r="24" spans="1:10" ht="13.5" hidden="1" thickBot="1" x14ac:dyDescent="0.25">
      <c r="A24" s="50">
        <v>21</v>
      </c>
      <c r="B24" s="16" t="s">
        <v>182</v>
      </c>
      <c r="C24" s="31" t="s">
        <v>245</v>
      </c>
      <c r="D24" s="15"/>
      <c r="G24">
        <v>3.8</v>
      </c>
      <c r="I24">
        <v>5.72</v>
      </c>
    </row>
    <row r="25" spans="1:10" ht="26.25" thickBot="1" x14ac:dyDescent="0.25">
      <c r="A25" s="20">
        <v>16</v>
      </c>
      <c r="B25" s="17" t="s">
        <v>6</v>
      </c>
      <c r="C25" s="31" t="s">
        <v>188</v>
      </c>
      <c r="D25" s="63" t="s">
        <v>85</v>
      </c>
      <c r="E25" s="63" t="s">
        <v>113</v>
      </c>
      <c r="F25" s="43">
        <v>8.1999999999999993</v>
      </c>
      <c r="G25" s="78">
        <f>3.14*1.5*1.5/4</f>
        <v>1.77</v>
      </c>
      <c r="H25" s="78">
        <f>F25*G25</f>
        <v>14.51</v>
      </c>
      <c r="I25" s="78">
        <f>3.14*2*1.5/4</f>
        <v>2.36</v>
      </c>
      <c r="J25" s="78">
        <f>I25*F25</f>
        <v>19.350000000000001</v>
      </c>
    </row>
    <row r="26" spans="1:10" ht="26.25" thickBot="1" x14ac:dyDescent="0.25">
      <c r="A26" s="50">
        <v>17</v>
      </c>
      <c r="B26" s="17" t="s">
        <v>10</v>
      </c>
      <c r="C26" s="31" t="s">
        <v>188</v>
      </c>
      <c r="D26" s="63" t="s">
        <v>86</v>
      </c>
      <c r="E26" s="63" t="s">
        <v>114</v>
      </c>
      <c r="F26" s="43">
        <v>18.5</v>
      </c>
      <c r="G26" s="78">
        <f>2*3.14*0.75*3.01*2</f>
        <v>28.35</v>
      </c>
      <c r="H26" s="78">
        <f>F26*G26</f>
        <v>524.48</v>
      </c>
      <c r="I26" s="78">
        <f>2*3.14*1*3.01*2</f>
        <v>37.81</v>
      </c>
      <c r="J26" s="78">
        <f>I26*F26</f>
        <v>699.49</v>
      </c>
    </row>
    <row r="27" spans="1:10" ht="18.75" customHeight="1" thickBot="1" x14ac:dyDescent="0.25">
      <c r="A27" s="313" t="s">
        <v>193</v>
      </c>
      <c r="B27" s="314"/>
      <c r="C27" s="314"/>
      <c r="D27" s="314"/>
      <c r="E27" s="314"/>
      <c r="F27" s="315"/>
      <c r="H27" s="77">
        <f>SUM(H5:H26)</f>
        <v>3098.85</v>
      </c>
      <c r="I27" s="49"/>
      <c r="J27" s="77">
        <f>SUM(J5:J26)</f>
        <v>3885.09</v>
      </c>
    </row>
    <row r="29" spans="1:10" x14ac:dyDescent="0.2">
      <c r="H29" s="76"/>
    </row>
  </sheetData>
  <mergeCells count="12">
    <mergeCell ref="F1:F3"/>
    <mergeCell ref="A27:F27"/>
    <mergeCell ref="E1:E3"/>
    <mergeCell ref="D1:D3"/>
    <mergeCell ref="C1:C3"/>
    <mergeCell ref="B1:B3"/>
    <mergeCell ref="A1:A3"/>
    <mergeCell ref="G1:J1"/>
    <mergeCell ref="G2:H2"/>
    <mergeCell ref="I2:J2"/>
    <mergeCell ref="G4:H4"/>
    <mergeCell ref="I4:J4"/>
  </mergeCells>
  <phoneticPr fontId="0" type="noConversion"/>
  <pageMargins left="0.39370078740157483" right="0.27559055118110237" top="0.74803149606299213" bottom="0.43307086614173229" header="0.35433070866141736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I24" sqref="I24"/>
    </sheetView>
  </sheetViews>
  <sheetFormatPr defaultRowHeight="12.75" x14ac:dyDescent="0.2"/>
  <cols>
    <col min="1" max="1" width="5.28515625" style="14" customWidth="1"/>
    <col min="2" max="2" width="30" customWidth="1"/>
    <col min="3" max="3" width="9.140625" style="22"/>
    <col min="4" max="4" width="10.85546875" customWidth="1"/>
    <col min="5" max="5" width="10.5703125" customWidth="1"/>
    <col min="6" max="6" width="8.85546875" customWidth="1"/>
    <col min="7" max="7" width="11.7109375" customWidth="1"/>
    <col min="8" max="8" width="11.5703125" customWidth="1"/>
    <col min="9" max="9" width="10.42578125" customWidth="1"/>
    <col min="10" max="10" width="11.7109375" customWidth="1"/>
  </cols>
  <sheetData>
    <row r="1" spans="1:12" s="22" customFormat="1" ht="23.25" customHeight="1" x14ac:dyDescent="0.2">
      <c r="A1" s="319" t="s">
        <v>134</v>
      </c>
      <c r="B1" s="316" t="s">
        <v>166</v>
      </c>
      <c r="C1" s="310" t="s">
        <v>167</v>
      </c>
      <c r="D1" s="310" t="s">
        <v>190</v>
      </c>
      <c r="E1" s="310" t="s">
        <v>168</v>
      </c>
      <c r="F1" s="310" t="s">
        <v>169</v>
      </c>
      <c r="G1" s="301" t="s">
        <v>253</v>
      </c>
      <c r="H1" s="302"/>
      <c r="I1" s="302"/>
      <c r="J1" s="303"/>
    </row>
    <row r="2" spans="1:12" x14ac:dyDescent="0.2">
      <c r="A2" s="320"/>
      <c r="B2" s="317"/>
      <c r="C2" s="311"/>
      <c r="D2" s="311"/>
      <c r="E2" s="311"/>
      <c r="F2" s="311"/>
      <c r="G2" s="304" t="s">
        <v>246</v>
      </c>
      <c r="H2" s="305"/>
      <c r="I2" s="304" t="s">
        <v>247</v>
      </c>
      <c r="J2" s="306"/>
    </row>
    <row r="3" spans="1:12" s="23" customFormat="1" ht="20.25" customHeight="1" x14ac:dyDescent="0.2">
      <c r="A3" s="321"/>
      <c r="B3" s="318"/>
      <c r="C3" s="312"/>
      <c r="D3" s="312"/>
      <c r="E3" s="312"/>
      <c r="F3" s="312"/>
      <c r="G3" s="21" t="s">
        <v>183</v>
      </c>
      <c r="H3" s="21" t="s">
        <v>184</v>
      </c>
      <c r="I3" s="21" t="s">
        <v>183</v>
      </c>
      <c r="J3" s="27" t="s">
        <v>184</v>
      </c>
    </row>
    <row r="4" spans="1:12" s="24" customFormat="1" ht="13.5" thickBot="1" x14ac:dyDescent="0.25">
      <c r="A4" s="50">
        <v>1</v>
      </c>
      <c r="B4" s="25" t="s">
        <v>173</v>
      </c>
      <c r="C4" s="28" t="s">
        <v>186</v>
      </c>
      <c r="D4" s="28"/>
      <c r="E4" s="28"/>
      <c r="F4" s="28"/>
      <c r="G4" s="307">
        <v>3.01</v>
      </c>
      <c r="H4" s="308"/>
      <c r="I4" s="307">
        <v>3.29</v>
      </c>
      <c r="J4" s="309"/>
    </row>
    <row r="5" spans="1:12" ht="89.25" x14ac:dyDescent="0.2">
      <c r="A5" s="20">
        <v>2</v>
      </c>
      <c r="B5" s="17" t="s">
        <v>24</v>
      </c>
      <c r="C5" s="29" t="s">
        <v>187</v>
      </c>
      <c r="D5" s="26" t="s">
        <v>75</v>
      </c>
      <c r="E5" s="26" t="s">
        <v>101</v>
      </c>
      <c r="F5" s="37">
        <v>6.7</v>
      </c>
      <c r="G5" s="38">
        <f>4*2*1.65</f>
        <v>13.2</v>
      </c>
      <c r="H5" s="38">
        <f>F5*G5</f>
        <v>88.44</v>
      </c>
      <c r="I5" s="38">
        <f>5*2*1.65</f>
        <v>16.5</v>
      </c>
      <c r="J5" s="39">
        <f t="shared" ref="J5:J13" si="0">I5*F5</f>
        <v>110.55</v>
      </c>
    </row>
    <row r="6" spans="1:12" ht="45" customHeight="1" x14ac:dyDescent="0.2">
      <c r="A6" s="20">
        <v>3</v>
      </c>
      <c r="B6" s="19" t="s">
        <v>159</v>
      </c>
      <c r="C6" s="30" t="s">
        <v>187</v>
      </c>
      <c r="D6" s="18" t="s">
        <v>79</v>
      </c>
      <c r="E6" s="18" t="s">
        <v>106</v>
      </c>
      <c r="F6" s="40">
        <v>1.55</v>
      </c>
      <c r="G6" s="41">
        <f>G5-(2.2*1*1.65)</f>
        <v>9.57</v>
      </c>
      <c r="H6" s="41">
        <f t="shared" ref="H6:H17" si="1">F6*G6</f>
        <v>14.83</v>
      </c>
      <c r="I6" s="41">
        <f>I5-(3.2*1*1.65)</f>
        <v>11.22</v>
      </c>
      <c r="J6" s="42">
        <f t="shared" si="0"/>
        <v>17.39</v>
      </c>
      <c r="L6">
        <f>1.05+0.35</f>
        <v>1.4</v>
      </c>
    </row>
    <row r="7" spans="1:12" ht="52.5" customHeight="1" x14ac:dyDescent="0.2">
      <c r="A7" s="50">
        <v>4</v>
      </c>
      <c r="B7" s="17" t="s">
        <v>27</v>
      </c>
      <c r="C7" s="30" t="s">
        <v>187</v>
      </c>
      <c r="D7" s="63" t="s">
        <v>77</v>
      </c>
      <c r="E7" s="63" t="s">
        <v>104</v>
      </c>
      <c r="F7" s="43">
        <v>7.36</v>
      </c>
      <c r="G7" s="41">
        <f>(G5-G6)*0.8</f>
        <v>2.9</v>
      </c>
      <c r="H7" s="41">
        <f>G7*F7</f>
        <v>21.34</v>
      </c>
      <c r="I7" s="41">
        <f>(I5-I6)*0.8</f>
        <v>4.22</v>
      </c>
      <c r="J7" s="42">
        <f>I7*F7</f>
        <v>31.06</v>
      </c>
    </row>
    <row r="8" spans="1:12" ht="52.5" customHeight="1" x14ac:dyDescent="0.2">
      <c r="A8" s="20">
        <v>5</v>
      </c>
      <c r="B8" s="17" t="s">
        <v>28</v>
      </c>
      <c r="C8" s="30" t="s">
        <v>187</v>
      </c>
      <c r="D8" s="63" t="s">
        <v>78</v>
      </c>
      <c r="E8" s="63" t="s">
        <v>105</v>
      </c>
      <c r="F8" s="43">
        <v>7.41</v>
      </c>
      <c r="G8" s="41">
        <f>(G5-G6)*0.2</f>
        <v>0.73</v>
      </c>
      <c r="H8" s="41">
        <f>G8*F8</f>
        <v>5.41</v>
      </c>
      <c r="I8" s="41">
        <f>(I5-I6)*0.2</f>
        <v>1.06</v>
      </c>
      <c r="J8" s="42">
        <f>I8*F8</f>
        <v>7.85</v>
      </c>
    </row>
    <row r="9" spans="1:12" ht="25.5" x14ac:dyDescent="0.2">
      <c r="A9" s="50">
        <v>6</v>
      </c>
      <c r="B9" s="19" t="s">
        <v>191</v>
      </c>
      <c r="C9" s="30" t="s">
        <v>187</v>
      </c>
      <c r="D9" s="32" t="s">
        <v>87</v>
      </c>
      <c r="E9" s="32" t="s">
        <v>115</v>
      </c>
      <c r="F9" s="43">
        <v>77</v>
      </c>
      <c r="G9" s="41">
        <f>2.5*1.15*0.1</f>
        <v>0.28999999999999998</v>
      </c>
      <c r="H9" s="41">
        <f t="shared" si="1"/>
        <v>22.33</v>
      </c>
      <c r="I9" s="44">
        <f>3.5*1.15*0.1</f>
        <v>0.4</v>
      </c>
      <c r="J9" s="42">
        <f t="shared" si="0"/>
        <v>30.8</v>
      </c>
    </row>
    <row r="10" spans="1:12" ht="24.75" customHeight="1" x14ac:dyDescent="0.2">
      <c r="A10" s="20">
        <v>7</v>
      </c>
      <c r="B10" s="19" t="s">
        <v>175</v>
      </c>
      <c r="C10" s="30" t="s">
        <v>187</v>
      </c>
      <c r="D10" s="32" t="s">
        <v>89</v>
      </c>
      <c r="E10" s="32" t="s">
        <v>117</v>
      </c>
      <c r="F10" s="43">
        <v>88</v>
      </c>
      <c r="G10" s="41">
        <f>(2.2 +0.6)*2*1.5*0.2+0.35*0.2+(((0.3+0.2)/2)*0.15+(0.3*0.15)/2)*2.2</f>
        <v>1.88</v>
      </c>
      <c r="H10" s="41">
        <f t="shared" si="1"/>
        <v>165.44</v>
      </c>
      <c r="I10" s="41">
        <f>(3.2 +0.6)*2*1.5*0.2+2*0.35*0.2+(((0.3+0.2)/2)*0.15+(0.3*0.15)/2)*3.2</f>
        <v>2.61</v>
      </c>
      <c r="J10" s="42">
        <f t="shared" si="0"/>
        <v>229.68</v>
      </c>
    </row>
    <row r="11" spans="1:12" x14ac:dyDescent="0.2">
      <c r="A11" s="20">
        <v>8</v>
      </c>
      <c r="B11" s="19" t="s">
        <v>176</v>
      </c>
      <c r="C11" s="30" t="s">
        <v>189</v>
      </c>
      <c r="D11" s="33"/>
      <c r="E11" s="33"/>
      <c r="F11" s="41"/>
      <c r="G11" s="41">
        <v>18.91</v>
      </c>
      <c r="H11" s="41">
        <f t="shared" si="1"/>
        <v>0</v>
      </c>
      <c r="I11" s="44">
        <v>27.4</v>
      </c>
      <c r="J11" s="42">
        <f t="shared" si="0"/>
        <v>0</v>
      </c>
    </row>
    <row r="12" spans="1:12" x14ac:dyDescent="0.2">
      <c r="A12" s="50">
        <v>9</v>
      </c>
      <c r="B12" s="19" t="s">
        <v>248</v>
      </c>
      <c r="C12" s="30" t="s">
        <v>187</v>
      </c>
      <c r="D12" s="32" t="s">
        <v>87</v>
      </c>
      <c r="E12" s="32" t="s">
        <v>115</v>
      </c>
      <c r="F12" s="43">
        <v>77</v>
      </c>
      <c r="G12" s="41">
        <v>0.41</v>
      </c>
      <c r="H12" s="41">
        <f t="shared" si="1"/>
        <v>31.57</v>
      </c>
      <c r="I12" s="44">
        <v>0.51</v>
      </c>
      <c r="J12" s="42">
        <f t="shared" si="0"/>
        <v>39.270000000000003</v>
      </c>
    </row>
    <row r="13" spans="1:12" ht="38.25" x14ac:dyDescent="0.2">
      <c r="A13" s="20">
        <v>10</v>
      </c>
      <c r="B13" s="19" t="s">
        <v>251</v>
      </c>
      <c r="C13" s="30" t="s">
        <v>189</v>
      </c>
      <c r="D13" s="32" t="s">
        <v>63</v>
      </c>
      <c r="E13" s="32" t="s">
        <v>128</v>
      </c>
      <c r="F13" s="43">
        <v>1.1499999999999999</v>
      </c>
      <c r="G13" s="41">
        <f>33.55+43.68</f>
        <v>77.23</v>
      </c>
      <c r="H13" s="41">
        <f t="shared" si="1"/>
        <v>88.81</v>
      </c>
      <c r="I13" s="41">
        <f>52.97+51.36</f>
        <v>104.33</v>
      </c>
      <c r="J13" s="42">
        <f t="shared" si="0"/>
        <v>119.98</v>
      </c>
    </row>
    <row r="14" spans="1:12" x14ac:dyDescent="0.2">
      <c r="A14" s="50"/>
      <c r="B14" s="19" t="s">
        <v>177</v>
      </c>
      <c r="C14" s="30" t="s">
        <v>189</v>
      </c>
      <c r="D14" s="33"/>
      <c r="E14" s="33"/>
      <c r="F14" s="41"/>
      <c r="G14" s="41">
        <v>19</v>
      </c>
      <c r="H14" s="41">
        <f t="shared" si="1"/>
        <v>0</v>
      </c>
      <c r="I14" s="41"/>
      <c r="J14" s="42">
        <f>I14*G14</f>
        <v>0</v>
      </c>
    </row>
    <row r="15" spans="1:12" ht="63.75" customHeight="1" x14ac:dyDescent="0.2">
      <c r="A15" s="20">
        <v>11</v>
      </c>
      <c r="B15" s="35" t="s">
        <v>252</v>
      </c>
      <c r="C15" s="30" t="s">
        <v>189</v>
      </c>
      <c r="D15" s="32" t="s">
        <v>143</v>
      </c>
      <c r="E15" s="32" t="s">
        <v>126</v>
      </c>
      <c r="F15" s="45">
        <v>2.9</v>
      </c>
      <c r="G15" s="41">
        <v>92</v>
      </c>
      <c r="H15" s="41">
        <f t="shared" si="1"/>
        <v>266.8</v>
      </c>
      <c r="I15" s="41">
        <v>138</v>
      </c>
      <c r="J15" s="42">
        <f>I15*F15</f>
        <v>400.2</v>
      </c>
    </row>
    <row r="16" spans="1:12" ht="33" customHeight="1" x14ac:dyDescent="0.2">
      <c r="A16" s="20">
        <v>12</v>
      </c>
      <c r="B16" s="79" t="s">
        <v>146</v>
      </c>
      <c r="C16" s="30" t="s">
        <v>189</v>
      </c>
      <c r="D16" s="32" t="s">
        <v>147</v>
      </c>
      <c r="E16" s="80" t="s">
        <v>126</v>
      </c>
      <c r="F16" s="81">
        <v>2.9</v>
      </c>
      <c r="G16" s="41">
        <f>2*95</f>
        <v>190</v>
      </c>
      <c r="H16" s="41">
        <f t="shared" si="1"/>
        <v>551</v>
      </c>
      <c r="I16" s="41">
        <f>3*95</f>
        <v>285</v>
      </c>
      <c r="J16" s="42">
        <f>I16*F16</f>
        <v>826.5</v>
      </c>
    </row>
    <row r="17" spans="1:10" ht="26.25" thickBot="1" x14ac:dyDescent="0.25">
      <c r="A17" s="50">
        <v>13</v>
      </c>
      <c r="B17" s="36" t="s">
        <v>8</v>
      </c>
      <c r="C17" s="31" t="s">
        <v>188</v>
      </c>
      <c r="D17" s="34" t="s">
        <v>81</v>
      </c>
      <c r="E17" s="34" t="s">
        <v>108</v>
      </c>
      <c r="F17" s="46">
        <v>18.5</v>
      </c>
      <c r="G17" s="47">
        <v>1.64</v>
      </c>
      <c r="H17" s="47">
        <f t="shared" si="1"/>
        <v>30.34</v>
      </c>
      <c r="I17" s="47">
        <v>1.84</v>
      </c>
      <c r="J17" s="48">
        <f>I17*F17</f>
        <v>34.04</v>
      </c>
    </row>
    <row r="18" spans="1:10" ht="13.5" hidden="1" thickBot="1" x14ac:dyDescent="0.25">
      <c r="A18" s="20">
        <v>17</v>
      </c>
      <c r="B18" s="16" t="s">
        <v>178</v>
      </c>
      <c r="C18" s="31" t="s">
        <v>187</v>
      </c>
      <c r="D18" s="15"/>
      <c r="G18">
        <v>7.6</v>
      </c>
      <c r="I18">
        <v>11.45</v>
      </c>
    </row>
    <row r="19" spans="1:10" ht="13.5" hidden="1" thickBot="1" x14ac:dyDescent="0.25">
      <c r="A19" s="50">
        <v>18</v>
      </c>
      <c r="B19" s="16" t="s">
        <v>179</v>
      </c>
      <c r="C19" s="31" t="s">
        <v>242</v>
      </c>
      <c r="D19" s="15"/>
      <c r="G19">
        <v>7.6</v>
      </c>
      <c r="I19">
        <v>11.45</v>
      </c>
    </row>
    <row r="20" spans="1:10" ht="13.5" hidden="1" thickBot="1" x14ac:dyDescent="0.25">
      <c r="A20" s="20">
        <v>19</v>
      </c>
      <c r="B20" s="16" t="s">
        <v>180</v>
      </c>
      <c r="C20" s="31" t="s">
        <v>243</v>
      </c>
      <c r="D20" s="15"/>
      <c r="G20">
        <v>3.8</v>
      </c>
      <c r="I20">
        <v>5.72</v>
      </c>
    </row>
    <row r="21" spans="1:10" ht="26.25" hidden="1" thickBot="1" x14ac:dyDescent="0.25">
      <c r="A21" s="20">
        <v>20</v>
      </c>
      <c r="B21" s="16" t="s">
        <v>181</v>
      </c>
      <c r="C21" s="31" t="s">
        <v>244</v>
      </c>
      <c r="D21" s="15"/>
      <c r="G21">
        <v>3.8</v>
      </c>
      <c r="I21">
        <v>5.72</v>
      </c>
    </row>
    <row r="22" spans="1:10" ht="13.5" hidden="1" thickBot="1" x14ac:dyDescent="0.25">
      <c r="A22" s="50">
        <v>21</v>
      </c>
      <c r="B22" s="16" t="s">
        <v>182</v>
      </c>
      <c r="C22" s="31" t="s">
        <v>245</v>
      </c>
      <c r="D22" s="15"/>
      <c r="G22">
        <v>3.8</v>
      </c>
      <c r="I22">
        <v>5.72</v>
      </c>
    </row>
    <row r="23" spans="1:10" ht="26.25" thickBot="1" x14ac:dyDescent="0.25">
      <c r="A23" s="20">
        <v>14</v>
      </c>
      <c r="B23" s="17" t="s">
        <v>249</v>
      </c>
      <c r="C23" s="31" t="s">
        <v>188</v>
      </c>
      <c r="D23" s="63" t="s">
        <v>85</v>
      </c>
      <c r="E23" s="63" t="s">
        <v>113</v>
      </c>
      <c r="F23" s="43">
        <v>8.1999999999999993</v>
      </c>
      <c r="G23" s="78">
        <f>(2*0.35+0.2)+2*1.2*0.6+2*2*0.8*1.2</f>
        <v>6.18</v>
      </c>
      <c r="H23" s="78">
        <f>F23*G23</f>
        <v>50.68</v>
      </c>
      <c r="I23" s="78">
        <f>2*(2*0.35+0.2)+2*1.2*0.6+2*3*0.8*1.2</f>
        <v>9</v>
      </c>
      <c r="J23" s="78">
        <f>I23*F23</f>
        <v>73.8</v>
      </c>
    </row>
    <row r="24" spans="1:10" ht="26.25" thickBot="1" x14ac:dyDescent="0.25">
      <c r="A24" s="50">
        <v>15</v>
      </c>
      <c r="B24" s="17" t="s">
        <v>250</v>
      </c>
      <c r="C24" s="31" t="s">
        <v>188</v>
      </c>
      <c r="D24" s="63" t="s">
        <v>85</v>
      </c>
      <c r="E24" s="63" t="s">
        <v>113</v>
      </c>
      <c r="F24" s="43">
        <v>8.1999999999999993</v>
      </c>
      <c r="G24" s="78">
        <f>(2.2* 2+2*1)*1.4</f>
        <v>8.9600000000000009</v>
      </c>
      <c r="H24" s="78">
        <f>F24*G24</f>
        <v>73.47</v>
      </c>
      <c r="I24" s="78">
        <f>(3.2+1)*2*1.4</f>
        <v>11.76</v>
      </c>
      <c r="J24" s="78">
        <f>I24*F24</f>
        <v>96.43</v>
      </c>
    </row>
    <row r="25" spans="1:10" ht="18.75" customHeight="1" thickBot="1" x14ac:dyDescent="0.25">
      <c r="A25" s="313" t="s">
        <v>193</v>
      </c>
      <c r="B25" s="314"/>
      <c r="C25" s="314"/>
      <c r="D25" s="314"/>
      <c r="E25" s="314"/>
      <c r="F25" s="315"/>
      <c r="H25" s="77">
        <f>SUM(H5:H24)</f>
        <v>1410.46</v>
      </c>
      <c r="I25" s="49"/>
      <c r="J25" s="77">
        <f>SUM(J5:J24)</f>
        <v>2017.55</v>
      </c>
    </row>
    <row r="27" spans="1:10" x14ac:dyDescent="0.2">
      <c r="H27" s="76"/>
    </row>
  </sheetData>
  <mergeCells count="12">
    <mergeCell ref="G1:J1"/>
    <mergeCell ref="G2:H2"/>
    <mergeCell ref="I2:J2"/>
    <mergeCell ref="G4:H4"/>
    <mergeCell ref="I4:J4"/>
    <mergeCell ref="A25:F25"/>
    <mergeCell ref="A1:A3"/>
    <mergeCell ref="B1:B3"/>
    <mergeCell ref="C1:C3"/>
    <mergeCell ref="D1:D3"/>
    <mergeCell ref="E1:E3"/>
    <mergeCell ref="F1:F3"/>
  </mergeCells>
  <pageMargins left="0.39370078740157483" right="0.27559055118110237" top="0.74803149606299213" bottom="0.43307086614173229" header="0.35433070866141736" footer="0.2362204724409449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K1"/>
    </sheetView>
  </sheetViews>
  <sheetFormatPr defaultRowHeight="12.75" x14ac:dyDescent="0.2"/>
  <cols>
    <col min="1" max="2" width="11.140625" customWidth="1"/>
    <col min="4" max="4" width="11.5703125" customWidth="1"/>
    <col min="5" max="5" width="13.28515625" customWidth="1"/>
    <col min="7" max="7" width="10.5703125" customWidth="1"/>
    <col min="9" max="9" width="9.5703125" customWidth="1"/>
    <col min="10" max="10" width="10" customWidth="1"/>
  </cols>
  <sheetData>
    <row r="1" spans="1:12" ht="15.75" x14ac:dyDescent="0.25">
      <c r="A1" s="277" t="s">
        <v>197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2" x14ac:dyDescent="0.2">
      <c r="A2" s="325" t="s">
        <v>198</v>
      </c>
      <c r="B2" s="325"/>
      <c r="C2" s="51" t="s">
        <v>201</v>
      </c>
      <c r="D2" s="322" t="s">
        <v>202</v>
      </c>
      <c r="E2" s="323"/>
      <c r="F2" s="325" t="s">
        <v>206</v>
      </c>
      <c r="G2" s="325"/>
      <c r="H2" s="325"/>
      <c r="I2" s="329" t="s">
        <v>210</v>
      </c>
      <c r="J2" s="329"/>
    </row>
    <row r="3" spans="1:12" ht="30.75" customHeight="1" x14ac:dyDescent="0.2">
      <c r="A3" s="326" t="s">
        <v>199</v>
      </c>
      <c r="B3" s="326" t="s">
        <v>200</v>
      </c>
      <c r="C3" s="327" t="s">
        <v>216</v>
      </c>
      <c r="D3" s="326" t="s">
        <v>203</v>
      </c>
      <c r="E3" s="326"/>
      <c r="F3" s="20" t="s">
        <v>207</v>
      </c>
      <c r="G3" s="54" t="s">
        <v>208</v>
      </c>
      <c r="H3" s="55" t="s">
        <v>209</v>
      </c>
      <c r="I3" s="55" t="s">
        <v>211</v>
      </c>
      <c r="J3" s="55" t="s">
        <v>208</v>
      </c>
    </row>
    <row r="4" spans="1:12" x14ac:dyDescent="0.2">
      <c r="A4" s="326"/>
      <c r="B4" s="326"/>
      <c r="C4" s="328"/>
      <c r="D4" s="57" t="s">
        <v>204</v>
      </c>
      <c r="E4" s="57" t="s">
        <v>205</v>
      </c>
      <c r="F4" s="58" t="s">
        <v>212</v>
      </c>
      <c r="G4" s="58" t="s">
        <v>213</v>
      </c>
      <c r="H4" s="329" t="s">
        <v>186</v>
      </c>
      <c r="I4" s="58" t="s">
        <v>214</v>
      </c>
      <c r="J4" s="58" t="s">
        <v>215</v>
      </c>
    </row>
    <row r="5" spans="1:12" x14ac:dyDescent="0.2">
      <c r="A5" s="326"/>
      <c r="B5" s="326"/>
      <c r="C5" s="56" t="s">
        <v>186</v>
      </c>
      <c r="D5" s="56" t="s">
        <v>186</v>
      </c>
      <c r="E5" s="56" t="s">
        <v>186</v>
      </c>
      <c r="F5" s="56" t="s">
        <v>186</v>
      </c>
      <c r="G5" s="56" t="s">
        <v>186</v>
      </c>
      <c r="H5" s="329"/>
      <c r="I5" s="59" t="s">
        <v>186</v>
      </c>
      <c r="J5" s="59" t="s">
        <v>186</v>
      </c>
    </row>
    <row r="6" spans="1:12" x14ac:dyDescent="0.2">
      <c r="A6" s="60" t="s">
        <v>217</v>
      </c>
      <c r="B6" s="60" t="s">
        <v>218</v>
      </c>
      <c r="C6" s="20">
        <v>20</v>
      </c>
      <c r="D6" s="20">
        <v>20</v>
      </c>
      <c r="E6" s="51"/>
      <c r="F6" s="20">
        <v>1.65</v>
      </c>
      <c r="G6" s="20">
        <v>0.2</v>
      </c>
      <c r="H6" s="20">
        <v>2.59</v>
      </c>
      <c r="I6" s="20">
        <v>1.23</v>
      </c>
      <c r="J6" s="20">
        <v>0.24</v>
      </c>
    </row>
    <row r="7" spans="1:12" x14ac:dyDescent="0.2">
      <c r="A7" s="60" t="s">
        <v>218</v>
      </c>
      <c r="B7" s="60" t="s">
        <v>219</v>
      </c>
      <c r="C7" s="20">
        <v>36</v>
      </c>
      <c r="D7" s="20">
        <v>36</v>
      </c>
      <c r="E7" s="51"/>
      <c r="F7" s="20">
        <v>1.65</v>
      </c>
      <c r="G7" s="20">
        <v>0.2</v>
      </c>
      <c r="H7" s="20">
        <v>2.59</v>
      </c>
      <c r="I7" s="20">
        <v>1.23</v>
      </c>
      <c r="J7" s="20">
        <v>0.24</v>
      </c>
    </row>
    <row r="8" spans="1:12" x14ac:dyDescent="0.2">
      <c r="A8" s="60" t="s">
        <v>219</v>
      </c>
      <c r="B8" s="60" t="s">
        <v>220</v>
      </c>
      <c r="C8" s="20">
        <v>32</v>
      </c>
      <c r="D8" s="20">
        <v>32</v>
      </c>
      <c r="E8" s="51"/>
      <c r="F8" s="20">
        <v>1.65</v>
      </c>
      <c r="G8" s="20">
        <v>0.2</v>
      </c>
      <c r="H8" s="20">
        <v>2.59</v>
      </c>
      <c r="I8" s="20">
        <v>1.23</v>
      </c>
      <c r="J8" s="20">
        <v>0.24</v>
      </c>
    </row>
    <row r="9" spans="1:12" x14ac:dyDescent="0.2">
      <c r="A9" s="60" t="s">
        <v>220</v>
      </c>
      <c r="B9" s="60" t="s">
        <v>221</v>
      </c>
      <c r="C9" s="20">
        <v>32</v>
      </c>
      <c r="D9" s="20">
        <v>32</v>
      </c>
      <c r="E9" s="51"/>
      <c r="F9" s="20">
        <v>1.65</v>
      </c>
      <c r="G9" s="20">
        <v>0.2</v>
      </c>
      <c r="H9" s="61">
        <v>2.66</v>
      </c>
      <c r="I9" s="20">
        <v>1.23</v>
      </c>
      <c r="J9" s="20">
        <v>0.24</v>
      </c>
      <c r="L9" s="15"/>
    </row>
    <row r="10" spans="1:12" x14ac:dyDescent="0.2">
      <c r="A10" s="60" t="s">
        <v>221</v>
      </c>
      <c r="B10" s="60" t="s">
        <v>222</v>
      </c>
      <c r="C10" s="20">
        <v>28</v>
      </c>
      <c r="D10" s="51"/>
      <c r="E10" s="20">
        <v>28</v>
      </c>
      <c r="F10" s="61">
        <v>1.9</v>
      </c>
      <c r="G10" s="61">
        <v>0.25</v>
      </c>
      <c r="H10" s="61">
        <v>2.81</v>
      </c>
      <c r="I10" s="61">
        <v>1.52</v>
      </c>
      <c r="J10" s="61">
        <v>0.31</v>
      </c>
    </row>
    <row r="11" spans="1:12" x14ac:dyDescent="0.2">
      <c r="A11" s="60" t="s">
        <v>222</v>
      </c>
      <c r="B11" s="60" t="s">
        <v>223</v>
      </c>
      <c r="C11" s="20">
        <v>28</v>
      </c>
      <c r="D11" s="51"/>
      <c r="E11" s="20">
        <v>28</v>
      </c>
      <c r="F11" s="61">
        <v>1.9</v>
      </c>
      <c r="G11" s="61">
        <v>0.25</v>
      </c>
      <c r="H11" s="61">
        <v>2.88</v>
      </c>
      <c r="I11" s="61">
        <v>1.52</v>
      </c>
      <c r="J11" s="61">
        <v>0.31</v>
      </c>
    </row>
    <row r="12" spans="1:12" x14ac:dyDescent="0.2">
      <c r="A12" s="60" t="s">
        <v>223</v>
      </c>
      <c r="B12" s="60" t="s">
        <v>224</v>
      </c>
      <c r="C12" s="20">
        <v>31</v>
      </c>
      <c r="D12" s="51"/>
      <c r="E12" s="20">
        <v>31</v>
      </c>
      <c r="F12" s="61">
        <v>1.9</v>
      </c>
      <c r="G12" s="61">
        <v>0.25</v>
      </c>
      <c r="H12" s="61">
        <v>2.87</v>
      </c>
      <c r="I12" s="61">
        <v>1.52</v>
      </c>
      <c r="J12" s="61">
        <v>0.31</v>
      </c>
    </row>
    <row r="13" spans="1:12" x14ac:dyDescent="0.2">
      <c r="A13" s="60" t="s">
        <v>224</v>
      </c>
      <c r="B13" s="60" t="s">
        <v>225</v>
      </c>
      <c r="C13" s="20">
        <v>31</v>
      </c>
      <c r="D13" s="51"/>
      <c r="E13" s="20">
        <v>31</v>
      </c>
      <c r="F13" s="61">
        <v>1.9</v>
      </c>
      <c r="G13" s="61">
        <v>0.25</v>
      </c>
      <c r="H13" s="61">
        <v>2.86</v>
      </c>
      <c r="I13" s="61">
        <v>1.52</v>
      </c>
      <c r="J13" s="61">
        <v>0.31</v>
      </c>
    </row>
    <row r="14" spans="1:12" x14ac:dyDescent="0.2">
      <c r="A14" s="60" t="s">
        <v>225</v>
      </c>
      <c r="B14" s="60" t="s">
        <v>226</v>
      </c>
      <c r="C14" s="20">
        <v>43</v>
      </c>
      <c r="D14" s="51"/>
      <c r="E14" s="20">
        <v>43</v>
      </c>
      <c r="F14" s="61">
        <v>1.9</v>
      </c>
      <c r="G14" s="61">
        <v>0.25</v>
      </c>
      <c r="H14" s="61">
        <v>3.35</v>
      </c>
      <c r="I14" s="61">
        <v>1.52</v>
      </c>
      <c r="J14" s="61">
        <v>0.31</v>
      </c>
    </row>
    <row r="15" spans="1:12" x14ac:dyDescent="0.2">
      <c r="A15" s="60" t="s">
        <v>226</v>
      </c>
      <c r="B15" s="60" t="s">
        <v>227</v>
      </c>
      <c r="C15" s="20">
        <v>43</v>
      </c>
      <c r="D15" s="51"/>
      <c r="E15" s="20">
        <v>43</v>
      </c>
      <c r="F15" s="61">
        <v>1.9</v>
      </c>
      <c r="G15" s="61">
        <v>0.25</v>
      </c>
      <c r="H15" s="61">
        <v>3.41</v>
      </c>
      <c r="I15" s="61">
        <v>1.52</v>
      </c>
      <c r="J15" s="61">
        <v>0.31</v>
      </c>
    </row>
    <row r="16" spans="1:12" x14ac:dyDescent="0.2">
      <c r="A16" s="60" t="s">
        <v>227</v>
      </c>
      <c r="B16" s="60" t="s">
        <v>228</v>
      </c>
      <c r="C16" s="20">
        <v>49</v>
      </c>
      <c r="D16" s="51"/>
      <c r="E16" s="20">
        <v>49</v>
      </c>
      <c r="F16" s="61">
        <v>1.9</v>
      </c>
      <c r="G16" s="61">
        <v>0.25</v>
      </c>
      <c r="H16" s="61">
        <v>3.45</v>
      </c>
      <c r="I16" s="61">
        <v>1.52</v>
      </c>
      <c r="J16" s="61">
        <v>0.31</v>
      </c>
    </row>
    <row r="17" spans="1:10" x14ac:dyDescent="0.2">
      <c r="A17" s="60" t="s">
        <v>228</v>
      </c>
      <c r="B17" s="60" t="s">
        <v>229</v>
      </c>
      <c r="C17" s="20">
        <v>49</v>
      </c>
      <c r="D17" s="51"/>
      <c r="E17" s="20">
        <v>49</v>
      </c>
      <c r="F17" s="61">
        <v>1.9</v>
      </c>
      <c r="G17" s="61">
        <v>0.25</v>
      </c>
      <c r="H17" s="52">
        <v>3.58</v>
      </c>
      <c r="I17" s="61">
        <v>1.52</v>
      </c>
      <c r="J17" s="61">
        <v>0.31</v>
      </c>
    </row>
    <row r="18" spans="1:10" x14ac:dyDescent="0.2">
      <c r="A18" s="324" t="s">
        <v>237</v>
      </c>
      <c r="B18" s="324"/>
      <c r="C18" s="324"/>
      <c r="D18" s="69">
        <f>SUM(D6:D17)</f>
        <v>120</v>
      </c>
      <c r="E18" s="69">
        <f>SUM(E6:E17)</f>
        <v>302</v>
      </c>
    </row>
  </sheetData>
  <mergeCells count="11">
    <mergeCell ref="D2:E2"/>
    <mergeCell ref="A18:C18"/>
    <mergeCell ref="A1:K1"/>
    <mergeCell ref="A2:B2"/>
    <mergeCell ref="A3:A5"/>
    <mergeCell ref="B3:B5"/>
    <mergeCell ref="C3:C4"/>
    <mergeCell ref="D3:E3"/>
    <mergeCell ref="F2:H2"/>
    <mergeCell ref="H4:H5"/>
    <mergeCell ref="I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J7" sqref="J7"/>
    </sheetView>
  </sheetViews>
  <sheetFormatPr defaultRowHeight="12.75" x14ac:dyDescent="0.2"/>
  <cols>
    <col min="2" max="2" width="25.5703125" customWidth="1"/>
    <col min="4" max="4" width="10.7109375" customWidth="1"/>
    <col min="5" max="5" width="16" customWidth="1"/>
    <col min="6" max="6" width="10.140625" customWidth="1"/>
    <col min="7" max="7" width="12.5703125" style="14" customWidth="1"/>
    <col min="8" max="8" width="12.28515625" style="14" customWidth="1"/>
  </cols>
  <sheetData>
    <row r="1" spans="1:8" ht="13.5" thickBot="1" x14ac:dyDescent="0.25">
      <c r="A1" s="330" t="s">
        <v>230</v>
      </c>
      <c r="B1" s="331"/>
      <c r="C1" s="331"/>
      <c r="D1" s="331"/>
      <c r="E1" s="331"/>
      <c r="F1" s="331"/>
      <c r="G1" s="331"/>
      <c r="H1" s="332"/>
    </row>
    <row r="2" spans="1:8" ht="21" customHeight="1" x14ac:dyDescent="0.2">
      <c r="A2" s="339" t="s">
        <v>134</v>
      </c>
      <c r="B2" s="339" t="s">
        <v>166</v>
      </c>
      <c r="C2" s="339" t="s">
        <v>167</v>
      </c>
      <c r="D2" s="339" t="s">
        <v>190</v>
      </c>
      <c r="E2" s="339" t="s">
        <v>168</v>
      </c>
      <c r="F2" s="339" t="s">
        <v>231</v>
      </c>
      <c r="G2" s="72"/>
      <c r="H2" s="73"/>
    </row>
    <row r="3" spans="1:8" ht="22.5" customHeight="1" x14ac:dyDescent="0.2">
      <c r="A3" s="340"/>
      <c r="B3" s="340"/>
      <c r="C3" s="340"/>
      <c r="D3" s="340"/>
      <c r="E3" s="340"/>
      <c r="F3" s="340"/>
      <c r="G3" s="333" t="s">
        <v>204</v>
      </c>
      <c r="H3" s="334"/>
    </row>
    <row r="4" spans="1:8" ht="24" customHeight="1" thickBot="1" x14ac:dyDescent="0.25">
      <c r="A4" s="341"/>
      <c r="B4" s="341"/>
      <c r="C4" s="341"/>
      <c r="D4" s="341"/>
      <c r="E4" s="341"/>
      <c r="F4" s="341"/>
      <c r="G4" s="74" t="s">
        <v>234</v>
      </c>
      <c r="H4" s="75" t="s">
        <v>235</v>
      </c>
    </row>
    <row r="5" spans="1:8" x14ac:dyDescent="0.2">
      <c r="A5" s="337" t="s">
        <v>236</v>
      </c>
      <c r="B5" s="338"/>
      <c r="C5" s="338"/>
      <c r="D5" s="338"/>
      <c r="E5" s="338"/>
      <c r="F5" s="338"/>
      <c r="G5" s="338"/>
      <c r="H5" s="338"/>
    </row>
    <row r="6" spans="1:8" x14ac:dyDescent="0.2">
      <c r="A6" s="20">
        <v>1</v>
      </c>
      <c r="B6" s="60" t="s">
        <v>232</v>
      </c>
      <c r="C6" s="60" t="s">
        <v>186</v>
      </c>
      <c r="D6" s="342"/>
      <c r="E6" s="343"/>
      <c r="F6" s="344"/>
      <c r="G6" s="20">
        <v>2.6</v>
      </c>
      <c r="H6" s="20"/>
    </row>
    <row r="7" spans="1:8" ht="102" x14ac:dyDescent="0.2">
      <c r="A7" s="20">
        <v>2</v>
      </c>
      <c r="B7" s="17" t="s">
        <v>24</v>
      </c>
      <c r="C7" s="32" t="s">
        <v>233</v>
      </c>
      <c r="D7" s="18" t="s">
        <v>75</v>
      </c>
      <c r="E7" s="18" t="s">
        <v>101</v>
      </c>
      <c r="F7" s="43">
        <v>6.7</v>
      </c>
      <c r="G7" s="64">
        <f>(2.6+0.2)*1.65</f>
        <v>4.62</v>
      </c>
      <c r="H7" s="64">
        <f>F7*G7</f>
        <v>30.95</v>
      </c>
    </row>
    <row r="8" spans="1:8" ht="63.75" x14ac:dyDescent="0.2">
      <c r="A8" s="20">
        <v>3</v>
      </c>
      <c r="B8" s="62" t="s">
        <v>159</v>
      </c>
      <c r="C8" s="32" t="s">
        <v>233</v>
      </c>
      <c r="D8" s="18" t="s">
        <v>79</v>
      </c>
      <c r="E8" s="13" t="s">
        <v>106</v>
      </c>
      <c r="F8" s="40">
        <v>1.55</v>
      </c>
      <c r="G8" s="64">
        <f>(2.6-0.24-0.73-0.3-0.5-0.1)*1.65</f>
        <v>1.2</v>
      </c>
      <c r="H8" s="64">
        <f>F8*G8</f>
        <v>1.86</v>
      </c>
    </row>
    <row r="9" spans="1:8" ht="76.5" x14ac:dyDescent="0.2">
      <c r="A9" s="20">
        <v>4</v>
      </c>
      <c r="B9" s="17" t="s">
        <v>27</v>
      </c>
      <c r="C9" s="32" t="s">
        <v>233</v>
      </c>
      <c r="D9" s="18" t="s">
        <v>77</v>
      </c>
      <c r="E9" s="18" t="s">
        <v>104</v>
      </c>
      <c r="F9" s="43">
        <v>7.41</v>
      </c>
      <c r="G9" s="64">
        <f>G7-G8</f>
        <v>3.42</v>
      </c>
      <c r="H9" s="64">
        <f>F9*G9</f>
        <v>25.34</v>
      </c>
    </row>
    <row r="10" spans="1:8" ht="76.5" x14ac:dyDescent="0.2">
      <c r="A10" s="20">
        <v>4</v>
      </c>
      <c r="B10" s="17" t="s">
        <v>160</v>
      </c>
      <c r="C10" s="32" t="s">
        <v>239</v>
      </c>
      <c r="D10" s="63" t="s">
        <v>161</v>
      </c>
      <c r="E10" s="63" t="s">
        <v>107</v>
      </c>
      <c r="F10" s="43">
        <v>18.399999999999999</v>
      </c>
      <c r="G10" s="64">
        <f>(0.24+0.73+0.3)*1.65-3.14*0.972*0.972/4-(0.58-0.2*1.65)+0.3*1.65</f>
        <v>1.6</v>
      </c>
      <c r="H10" s="64">
        <f>F10*G10</f>
        <v>29.44</v>
      </c>
    </row>
    <row r="11" spans="1:8" x14ac:dyDescent="0.2">
      <c r="A11" s="335" t="s">
        <v>237</v>
      </c>
      <c r="B11" s="335"/>
      <c r="C11" s="335"/>
      <c r="D11" s="335"/>
      <c r="E11" s="335"/>
      <c r="F11" s="335"/>
      <c r="G11" s="335"/>
      <c r="H11" s="70">
        <f>SUM(H7:H10)</f>
        <v>87.59</v>
      </c>
    </row>
    <row r="12" spans="1:8" ht="18.75" customHeight="1" x14ac:dyDescent="0.2">
      <c r="A12" s="345" t="s">
        <v>238</v>
      </c>
      <c r="B12" s="345"/>
      <c r="C12" s="345"/>
      <c r="D12" s="345"/>
      <c r="E12" s="345"/>
      <c r="F12" s="345"/>
      <c r="G12" s="345"/>
      <c r="H12" s="345"/>
    </row>
    <row r="13" spans="1:8" ht="76.5" x14ac:dyDescent="0.2">
      <c r="A13" s="65">
        <v>5</v>
      </c>
      <c r="B13" s="17" t="s">
        <v>165</v>
      </c>
      <c r="C13" s="32" t="s">
        <v>239</v>
      </c>
      <c r="D13" s="32" t="s">
        <v>87</v>
      </c>
      <c r="E13" s="32" t="s">
        <v>115</v>
      </c>
      <c r="F13" s="43">
        <v>77</v>
      </c>
      <c r="G13" s="53">
        <v>0.57999999999999996</v>
      </c>
      <c r="H13" s="53">
        <f>F13*G13</f>
        <v>44.66</v>
      </c>
    </row>
    <row r="14" spans="1:8" ht="63.75" x14ac:dyDescent="0.2">
      <c r="A14" s="22">
        <v>6</v>
      </c>
      <c r="B14" s="17" t="s">
        <v>54</v>
      </c>
      <c r="C14" s="68" t="s">
        <v>11</v>
      </c>
      <c r="D14" s="32" t="s">
        <v>93</v>
      </c>
      <c r="E14" s="32" t="s">
        <v>119</v>
      </c>
      <c r="F14" s="66">
        <v>103</v>
      </c>
      <c r="G14" s="67">
        <v>1</v>
      </c>
      <c r="H14" s="53">
        <f>F14*G14</f>
        <v>103</v>
      </c>
    </row>
    <row r="15" spans="1:8" ht="25.5" x14ac:dyDescent="0.2">
      <c r="A15" s="22">
        <v>7</v>
      </c>
      <c r="B15" s="17" t="s">
        <v>8</v>
      </c>
      <c r="C15" s="68" t="s">
        <v>240</v>
      </c>
      <c r="D15" s="63" t="s">
        <v>81</v>
      </c>
      <c r="E15" s="18" t="s">
        <v>108</v>
      </c>
      <c r="F15" s="67">
        <v>18.5</v>
      </c>
      <c r="G15" s="67">
        <v>1.65</v>
      </c>
      <c r="H15" s="53">
        <f>F15*G15</f>
        <v>30.524999999999999</v>
      </c>
    </row>
    <row r="16" spans="1:8" x14ac:dyDescent="0.2">
      <c r="A16" s="335" t="s">
        <v>237</v>
      </c>
      <c r="B16" s="335"/>
      <c r="C16" s="335"/>
      <c r="D16" s="335"/>
      <c r="E16" s="335"/>
      <c r="F16" s="335"/>
      <c r="G16" s="335"/>
      <c r="H16" s="69">
        <f>SUM(H13:H15)</f>
        <v>178.185</v>
      </c>
    </row>
    <row r="17" spans="1:8" ht="15.75" x14ac:dyDescent="0.25">
      <c r="A17" s="336" t="s">
        <v>241</v>
      </c>
      <c r="B17" s="336"/>
      <c r="C17" s="336"/>
      <c r="D17" s="336"/>
      <c r="E17" s="336"/>
      <c r="F17" s="336"/>
      <c r="G17" s="336"/>
      <c r="H17" s="71">
        <f>H11+H16</f>
        <v>265.77999999999997</v>
      </c>
    </row>
  </sheetData>
  <mergeCells count="14">
    <mergeCell ref="A1:H1"/>
    <mergeCell ref="G3:H3"/>
    <mergeCell ref="A16:G16"/>
    <mergeCell ref="A17:G17"/>
    <mergeCell ref="A5:H5"/>
    <mergeCell ref="D2:D4"/>
    <mergeCell ref="D6:F6"/>
    <mergeCell ref="A12:H12"/>
    <mergeCell ref="A11:G11"/>
    <mergeCell ref="A2:A4"/>
    <mergeCell ref="B2:B4"/>
    <mergeCell ref="C2:C4"/>
    <mergeCell ref="E2:E4"/>
    <mergeCell ref="F2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15" sqref="F15"/>
    </sheetView>
  </sheetViews>
  <sheetFormatPr defaultRowHeight="12.75" x14ac:dyDescent="0.2"/>
  <cols>
    <col min="2" max="2" width="25.5703125" customWidth="1"/>
    <col min="4" max="4" width="10.7109375" customWidth="1"/>
    <col min="5" max="5" width="16" customWidth="1"/>
    <col min="6" max="6" width="10.140625" customWidth="1"/>
    <col min="7" max="7" width="12.5703125" style="14" customWidth="1"/>
    <col min="8" max="8" width="12.28515625" style="14" customWidth="1"/>
  </cols>
  <sheetData>
    <row r="1" spans="1:13" ht="13.5" thickBot="1" x14ac:dyDescent="0.25">
      <c r="A1" s="330" t="s">
        <v>230</v>
      </c>
      <c r="B1" s="331"/>
      <c r="C1" s="331"/>
      <c r="D1" s="331"/>
      <c r="E1" s="331"/>
      <c r="F1" s="331"/>
      <c r="G1" s="331"/>
      <c r="H1" s="332"/>
    </row>
    <row r="2" spans="1:13" ht="21" customHeight="1" x14ac:dyDescent="0.2">
      <c r="A2" s="339" t="s">
        <v>134</v>
      </c>
      <c r="B2" s="339" t="s">
        <v>166</v>
      </c>
      <c r="C2" s="339" t="s">
        <v>167</v>
      </c>
      <c r="D2" s="339" t="s">
        <v>190</v>
      </c>
      <c r="E2" s="339" t="s">
        <v>168</v>
      </c>
      <c r="F2" s="339" t="s">
        <v>231</v>
      </c>
      <c r="G2" s="72"/>
      <c r="H2" s="73"/>
    </row>
    <row r="3" spans="1:13" ht="22.5" customHeight="1" x14ac:dyDescent="0.2">
      <c r="A3" s="340"/>
      <c r="B3" s="340"/>
      <c r="C3" s="340"/>
      <c r="D3" s="340"/>
      <c r="E3" s="340"/>
      <c r="F3" s="340"/>
      <c r="G3" s="333" t="s">
        <v>205</v>
      </c>
      <c r="H3" s="334"/>
    </row>
    <row r="4" spans="1:13" ht="24" customHeight="1" thickBot="1" x14ac:dyDescent="0.25">
      <c r="A4" s="341"/>
      <c r="B4" s="341"/>
      <c r="C4" s="341"/>
      <c r="D4" s="341"/>
      <c r="E4" s="341"/>
      <c r="F4" s="341"/>
      <c r="G4" s="74" t="s">
        <v>234</v>
      </c>
      <c r="H4" s="75" t="s">
        <v>235</v>
      </c>
    </row>
    <row r="5" spans="1:13" x14ac:dyDescent="0.2">
      <c r="A5" s="337" t="s">
        <v>236</v>
      </c>
      <c r="B5" s="338"/>
      <c r="C5" s="338"/>
      <c r="D5" s="338"/>
      <c r="E5" s="338"/>
      <c r="F5" s="338"/>
      <c r="G5" s="338"/>
      <c r="H5" s="338"/>
    </row>
    <row r="6" spans="1:13" x14ac:dyDescent="0.2">
      <c r="A6" s="20">
        <v>1</v>
      </c>
      <c r="B6" s="60" t="s">
        <v>232</v>
      </c>
      <c r="C6" s="60" t="s">
        <v>186</v>
      </c>
      <c r="D6" s="342"/>
      <c r="E6" s="343"/>
      <c r="F6" s="344"/>
      <c r="G6" s="20">
        <v>3.19</v>
      </c>
      <c r="H6" s="20"/>
    </row>
    <row r="7" spans="1:13" ht="102" x14ac:dyDescent="0.2">
      <c r="A7" s="20">
        <v>2</v>
      </c>
      <c r="B7" s="17" t="s">
        <v>24</v>
      </c>
      <c r="C7" s="32" t="s">
        <v>233</v>
      </c>
      <c r="D7" s="18" t="s">
        <v>75</v>
      </c>
      <c r="E7" s="18" t="s">
        <v>101</v>
      </c>
      <c r="F7" s="43">
        <v>6.7</v>
      </c>
      <c r="G7" s="64">
        <f>(3.2+0.2)*1.9</f>
        <v>6.46</v>
      </c>
      <c r="H7" s="64">
        <f>F7*G7</f>
        <v>43.28</v>
      </c>
      <c r="M7">
        <v>2.81</v>
      </c>
    </row>
    <row r="8" spans="1:13" ht="63.75" x14ac:dyDescent="0.2">
      <c r="A8" s="20">
        <v>3</v>
      </c>
      <c r="B8" s="62" t="s">
        <v>159</v>
      </c>
      <c r="C8" s="32" t="s">
        <v>233</v>
      </c>
      <c r="D8" s="18" t="s">
        <v>79</v>
      </c>
      <c r="E8" s="13" t="s">
        <v>106</v>
      </c>
      <c r="F8" s="40">
        <v>1.55</v>
      </c>
      <c r="G8" s="64">
        <f>(3.19-0.31-0.92-0.3-0.5-0.1)*1.9</f>
        <v>2.0099999999999998</v>
      </c>
      <c r="H8" s="64">
        <f>F8*G8</f>
        <v>3.12</v>
      </c>
    </row>
    <row r="9" spans="1:13" ht="76.5" x14ac:dyDescent="0.2">
      <c r="A9" s="20">
        <v>4</v>
      </c>
      <c r="B9" s="17" t="s">
        <v>27</v>
      </c>
      <c r="C9" s="32" t="s">
        <v>233</v>
      </c>
      <c r="D9" s="18" t="s">
        <v>77</v>
      </c>
      <c r="E9" s="18" t="s">
        <v>104</v>
      </c>
      <c r="F9" s="43">
        <v>7.41</v>
      </c>
      <c r="G9" s="64">
        <f>G7-G8</f>
        <v>4.45</v>
      </c>
      <c r="H9" s="64">
        <f>F9*G9</f>
        <v>32.97</v>
      </c>
    </row>
    <row r="10" spans="1:13" ht="76.5" x14ac:dyDescent="0.2">
      <c r="A10" s="20">
        <v>4</v>
      </c>
      <c r="B10" s="17" t="s">
        <v>160</v>
      </c>
      <c r="C10" s="32" t="s">
        <v>239</v>
      </c>
      <c r="D10" s="63" t="s">
        <v>161</v>
      </c>
      <c r="E10" s="63" t="s">
        <v>107</v>
      </c>
      <c r="F10" s="43">
        <v>18.399999999999999</v>
      </c>
      <c r="G10" s="64">
        <f>(0.31+0.92+0.3)*1.9-3.14*1.22*1.22/4-(0.84-0.25*1.9)+0.3*1.9</f>
        <v>1.94</v>
      </c>
      <c r="H10" s="64">
        <f>F10*G10</f>
        <v>35.700000000000003</v>
      </c>
    </row>
    <row r="11" spans="1:13" x14ac:dyDescent="0.2">
      <c r="A11" s="335" t="s">
        <v>237</v>
      </c>
      <c r="B11" s="335"/>
      <c r="C11" s="335"/>
      <c r="D11" s="335"/>
      <c r="E11" s="335"/>
      <c r="F11" s="335"/>
      <c r="G11" s="335"/>
      <c r="H11" s="70">
        <f>SUM(H7:H10)</f>
        <v>115.07</v>
      </c>
    </row>
    <row r="12" spans="1:13" ht="18.75" customHeight="1" x14ac:dyDescent="0.2">
      <c r="A12" s="345" t="s">
        <v>238</v>
      </c>
      <c r="B12" s="345"/>
      <c r="C12" s="345"/>
      <c r="D12" s="345"/>
      <c r="E12" s="345"/>
      <c r="F12" s="345"/>
      <c r="G12" s="345"/>
      <c r="H12" s="345"/>
    </row>
    <row r="13" spans="1:13" ht="76.5" x14ac:dyDescent="0.2">
      <c r="A13" s="65">
        <v>5</v>
      </c>
      <c r="B13" s="17" t="s">
        <v>165</v>
      </c>
      <c r="C13" s="32" t="s">
        <v>239</v>
      </c>
      <c r="D13" s="32" t="s">
        <v>87</v>
      </c>
      <c r="E13" s="32" t="s">
        <v>115</v>
      </c>
      <c r="F13" s="43">
        <v>77</v>
      </c>
      <c r="G13" s="53">
        <v>0.84</v>
      </c>
      <c r="H13" s="53">
        <f>F13*G13</f>
        <v>64.680000000000007</v>
      </c>
    </row>
    <row r="14" spans="1:13" ht="63.75" x14ac:dyDescent="0.2">
      <c r="A14" s="22">
        <v>6</v>
      </c>
      <c r="B14" s="17" t="s">
        <v>55</v>
      </c>
      <c r="C14" s="68" t="s">
        <v>11</v>
      </c>
      <c r="D14" s="32" t="s">
        <v>93</v>
      </c>
      <c r="E14" s="32" t="s">
        <v>119</v>
      </c>
      <c r="F14" s="66">
        <v>144</v>
      </c>
      <c r="G14" s="67">
        <v>1</v>
      </c>
      <c r="H14" s="53">
        <f>F14*G14</f>
        <v>144</v>
      </c>
    </row>
    <row r="15" spans="1:13" ht="25.5" x14ac:dyDescent="0.2">
      <c r="A15" s="22">
        <v>7</v>
      </c>
      <c r="B15" s="17" t="s">
        <v>8</v>
      </c>
      <c r="C15" s="68" t="s">
        <v>240</v>
      </c>
      <c r="D15" s="63" t="s">
        <v>81</v>
      </c>
      <c r="E15" s="18" t="s">
        <v>108</v>
      </c>
      <c r="F15" s="67">
        <v>18.5</v>
      </c>
      <c r="G15" s="67">
        <v>1.9</v>
      </c>
      <c r="H15" s="53">
        <f>F15*G15</f>
        <v>35.15</v>
      </c>
    </row>
    <row r="16" spans="1:13" x14ac:dyDescent="0.2">
      <c r="A16" s="335" t="s">
        <v>237</v>
      </c>
      <c r="B16" s="335"/>
      <c r="C16" s="335"/>
      <c r="D16" s="335"/>
      <c r="E16" s="335"/>
      <c r="F16" s="335"/>
      <c r="G16" s="335"/>
      <c r="H16" s="69">
        <f>SUM(H13:H15)</f>
        <v>243.83</v>
      </c>
    </row>
    <row r="17" spans="1:8" ht="15.75" x14ac:dyDescent="0.25">
      <c r="A17" s="336" t="s">
        <v>241</v>
      </c>
      <c r="B17" s="336"/>
      <c r="C17" s="336"/>
      <c r="D17" s="336"/>
      <c r="E17" s="336"/>
      <c r="F17" s="336"/>
      <c r="G17" s="336"/>
      <c r="H17" s="71">
        <f>H11+H16</f>
        <v>358.9</v>
      </c>
    </row>
  </sheetData>
  <mergeCells count="14">
    <mergeCell ref="A17:G17"/>
    <mergeCell ref="A5:H5"/>
    <mergeCell ref="D6:F6"/>
    <mergeCell ref="A11:G11"/>
    <mergeCell ref="A12:H12"/>
    <mergeCell ref="A16:G16"/>
    <mergeCell ref="A1:H1"/>
    <mergeCell ref="A2:A4"/>
    <mergeCell ref="B2:B4"/>
    <mergeCell ref="C2:C4"/>
    <mergeCell ref="D2:D4"/>
    <mergeCell ref="E2:E4"/>
    <mergeCell ref="F2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2</vt:i4>
      </vt:variant>
    </vt:vector>
  </HeadingPairs>
  <TitlesOfParts>
    <vt:vector size="9" baseType="lpstr">
      <vt:lpstr>ΠΡΟΥΠΟΛΟΓΙΣΜΟΣ</vt:lpstr>
      <vt:lpstr>ΟΜΑΛΟΤΗΤΑ</vt:lpstr>
      <vt:lpstr>κοστολογηση Ε2 Ε3</vt:lpstr>
      <vt:lpstr>κοστολογηση Α2 Α3 </vt:lpstr>
      <vt:lpstr>προμετρηση αγωγων</vt:lpstr>
      <vt:lpstr>ΚΟΣΤΟΛΟΓΗΓΗ ΑΓΩΓΟΥ Φ800</vt:lpstr>
      <vt:lpstr>ΚΟΣΤΟΛΟΓΗΓΗ ΑΓΩΓΟΥ Φ1000 </vt:lpstr>
      <vt:lpstr>ΟΜΑΛΟΤΗΤΑ!Print_Titles</vt:lpstr>
      <vt:lpstr>ΠΡΟΥΠΟΛΟΓΙΣΜΟΣ!Print_Titles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Magia</cp:lastModifiedBy>
  <cp:lastPrinted>2017-02-28T11:38:06Z</cp:lastPrinted>
  <dcterms:created xsi:type="dcterms:W3CDTF">1997-01-24T12:53:32Z</dcterms:created>
  <dcterms:modified xsi:type="dcterms:W3CDTF">2017-03-01T12:14:17Z</dcterms:modified>
</cp:coreProperties>
</file>